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aldj\surfdrive - Ewald Jongkind@surfdrive.surf.nl\Shared\SINTEF RedAms\Figures\"/>
    </mc:Choice>
  </mc:AlternateContent>
  <xr:revisionPtr revIDLastSave="0" documentId="13_ncr:1_{EEE9B028-1E4A-47B3-96EA-B5565260EB62}" xr6:coauthVersionLast="47" xr6:coauthVersionMax="47" xr10:uidLastSave="{00000000-0000-0000-0000-000000000000}"/>
  <bookViews>
    <workbookView xWindow="22560" yWindow="2892" windowWidth="21540" windowHeight="20808" xr2:uid="{2B84EAF5-8DED-48DE-A311-C106F89E33E4}"/>
  </bookViews>
  <sheets>
    <sheet name="Sheet1" sheetId="1" r:id="rId1"/>
    <sheet name="cascade" sheetId="2" r:id="rId2"/>
    <sheet name="Sheet4" sheetId="4" r:id="rId3"/>
    <sheet name="Sheet3" sheetId="3" r:id="rId4"/>
    <sheet name="Sheet5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6" i="1" l="1"/>
  <c r="AT16" i="1"/>
  <c r="AS16" i="1"/>
  <c r="AT15" i="1"/>
  <c r="AS15" i="1"/>
  <c r="AU14" i="1"/>
  <c r="AT14" i="1"/>
  <c r="AS14" i="1"/>
  <c r="AU13" i="1"/>
  <c r="AT13" i="1"/>
  <c r="AS13" i="1"/>
  <c r="AT12" i="1"/>
  <c r="AS12" i="1"/>
  <c r="AU10" i="1"/>
  <c r="AT10" i="1"/>
  <c r="AU9" i="1"/>
  <c r="AT9" i="1"/>
  <c r="AU8" i="1"/>
  <c r="AT8" i="1"/>
  <c r="AU7" i="1"/>
  <c r="AT7" i="1"/>
  <c r="AU6" i="1"/>
  <c r="AT6" i="1"/>
  <c r="AP16" i="1"/>
  <c r="AP12" i="1"/>
  <c r="AP15" i="1"/>
  <c r="AP14" i="1"/>
  <c r="AP13" i="1"/>
  <c r="R21" i="1"/>
  <c r="S21" i="1" s="1"/>
  <c r="R22" i="1"/>
  <c r="AH16" i="1"/>
  <c r="AB49" i="1"/>
  <c r="AB47" i="1"/>
  <c r="AB31" i="1"/>
  <c r="AB29" i="1"/>
  <c r="AB19" i="1"/>
  <c r="AB17" i="1"/>
  <c r="AB11" i="1"/>
  <c r="AB9" i="1"/>
  <c r="AB7" i="1"/>
  <c r="AB27" i="1"/>
  <c r="Z29" i="1"/>
  <c r="Z31" i="1"/>
  <c r="Z27" i="1"/>
  <c r="X27" i="1"/>
  <c r="AQ16" i="1"/>
  <c r="AQ14" i="1"/>
  <c r="AQ13" i="1"/>
  <c r="AJ25" i="1"/>
  <c r="AO7" i="1"/>
  <c r="AO8" i="1"/>
  <c r="AO9" i="1"/>
  <c r="AO10" i="1"/>
  <c r="AO11" i="1"/>
  <c r="AO12" i="1"/>
  <c r="AO13" i="1"/>
  <c r="AO14" i="1"/>
  <c r="AO15" i="1"/>
  <c r="AO16" i="1"/>
  <c r="AO17" i="1"/>
  <c r="R49" i="1"/>
  <c r="Z49" i="1" s="1"/>
  <c r="V49" i="1"/>
  <c r="V48" i="1"/>
  <c r="V50" i="1"/>
  <c r="V51" i="1"/>
  <c r="V52" i="1"/>
  <c r="V47" i="1"/>
  <c r="T48" i="1"/>
  <c r="T49" i="1"/>
  <c r="T50" i="1"/>
  <c r="T51" i="1"/>
  <c r="T52" i="1"/>
  <c r="T47" i="1"/>
  <c r="R48" i="1"/>
  <c r="R50" i="1"/>
  <c r="R51" i="1"/>
  <c r="R52" i="1"/>
  <c r="R47" i="1"/>
  <c r="Z47" i="1" s="1"/>
  <c r="R58" i="1"/>
  <c r="R59" i="1"/>
  <c r="Z59" i="1" s="1"/>
  <c r="R60" i="1"/>
  <c r="R61" i="1"/>
  <c r="R62" i="1"/>
  <c r="R57" i="1"/>
  <c r="Z57" i="1" s="1"/>
  <c r="T58" i="1"/>
  <c r="T59" i="1"/>
  <c r="T60" i="1"/>
  <c r="T61" i="1"/>
  <c r="T62" i="1"/>
  <c r="T57" i="1"/>
  <c r="T27" i="1"/>
  <c r="T7" i="1"/>
  <c r="T67" i="1"/>
  <c r="T68" i="1"/>
  <c r="T69" i="1"/>
  <c r="T70" i="1"/>
  <c r="T71" i="1"/>
  <c r="T72" i="1"/>
  <c r="R68" i="1"/>
  <c r="R69" i="1"/>
  <c r="Z69" i="1" s="1"/>
  <c r="R70" i="1"/>
  <c r="R71" i="1"/>
  <c r="R72" i="1"/>
  <c r="R67" i="1"/>
  <c r="Z67" i="1" s="1"/>
  <c r="W47" i="1" l="1"/>
  <c r="X47" i="1" s="1"/>
  <c r="AJ9" i="1" l="1"/>
  <c r="V58" i="1" l="1"/>
  <c r="R27" i="1"/>
  <c r="V27" i="1"/>
  <c r="T28" i="1"/>
  <c r="T29" i="1"/>
  <c r="T30" i="1"/>
  <c r="T31" i="1"/>
  <c r="T32" i="1"/>
  <c r="R28" i="1"/>
  <c r="R29" i="1"/>
  <c r="R30" i="1"/>
  <c r="R31" i="1"/>
  <c r="R32" i="1"/>
  <c r="T18" i="1"/>
  <c r="T19" i="1"/>
  <c r="T20" i="1"/>
  <c r="T21" i="1"/>
  <c r="T22" i="1"/>
  <c r="T17" i="1"/>
  <c r="V17" i="1"/>
  <c r="R18" i="1"/>
  <c r="R19" i="1"/>
  <c r="Z19" i="1" s="1"/>
  <c r="R20" i="1"/>
  <c r="R17" i="1"/>
  <c r="Z17" i="1" s="1"/>
  <c r="T8" i="1"/>
  <c r="T9" i="1"/>
  <c r="T10" i="1"/>
  <c r="T11" i="1"/>
  <c r="T12" i="1"/>
  <c r="R8" i="1"/>
  <c r="R9" i="1"/>
  <c r="Z9" i="1" s="1"/>
  <c r="R10" i="1"/>
  <c r="R11" i="1"/>
  <c r="Z11" i="1" s="1"/>
  <c r="R12" i="1"/>
  <c r="R7" i="1"/>
  <c r="Z7" i="1" s="1"/>
  <c r="N15" i="2" l="1"/>
  <c r="L15" i="2"/>
  <c r="J15" i="2"/>
  <c r="N14" i="2"/>
  <c r="L14" i="2"/>
  <c r="M14" i="2" s="1"/>
  <c r="J14" i="2"/>
  <c r="K14" i="2" s="1"/>
  <c r="N13" i="2"/>
  <c r="L13" i="2"/>
  <c r="J13" i="2"/>
  <c r="N12" i="2"/>
  <c r="O12" i="2" s="1"/>
  <c r="L12" i="2"/>
  <c r="M12" i="2" s="1"/>
  <c r="J12" i="2"/>
  <c r="K12" i="2" s="1"/>
  <c r="N11" i="2"/>
  <c r="L11" i="2"/>
  <c r="J11" i="2"/>
  <c r="N10" i="2"/>
  <c r="O10" i="2" s="1"/>
  <c r="L10" i="2"/>
  <c r="M10" i="2" s="1"/>
  <c r="J10" i="2"/>
  <c r="K10" i="2" s="1"/>
  <c r="O14" i="2" l="1"/>
  <c r="AR11" i="1"/>
  <c r="AR12" i="1"/>
  <c r="AO6" i="1"/>
  <c r="R82" i="1"/>
  <c r="R81" i="1"/>
  <c r="S81" i="1" s="1"/>
  <c r="R80" i="1"/>
  <c r="R79" i="1"/>
  <c r="R78" i="1"/>
  <c r="R77" i="1"/>
  <c r="S77" i="1" s="1"/>
  <c r="S79" i="1" l="1"/>
  <c r="V72" i="1" l="1"/>
  <c r="V71" i="1"/>
  <c r="U71" i="1"/>
  <c r="S71" i="1"/>
  <c r="V70" i="1"/>
  <c r="V69" i="1"/>
  <c r="U69" i="1"/>
  <c r="V68" i="1"/>
  <c r="AJ60" i="1"/>
  <c r="V67" i="1"/>
  <c r="V62" i="1"/>
  <c r="V61" i="1"/>
  <c r="W61" i="1" s="1"/>
  <c r="U61" i="1"/>
  <c r="S61" i="1"/>
  <c r="V60" i="1"/>
  <c r="V59" i="1"/>
  <c r="V57" i="1"/>
  <c r="W51" i="1"/>
  <c r="U51" i="1"/>
  <c r="S51" i="1"/>
  <c r="V40" i="1"/>
  <c r="T40" i="1"/>
  <c r="R40" i="1"/>
  <c r="V39" i="1"/>
  <c r="T39" i="1"/>
  <c r="R39" i="1"/>
  <c r="V38" i="1"/>
  <c r="T38" i="1"/>
  <c r="R38" i="1"/>
  <c r="V37" i="1"/>
  <c r="T37" i="1"/>
  <c r="R37" i="1"/>
  <c r="V32" i="1"/>
  <c r="V31" i="1"/>
  <c r="V30" i="1"/>
  <c r="V29" i="1"/>
  <c r="V28" i="1"/>
  <c r="S27" i="1"/>
  <c r="V22" i="1"/>
  <c r="V21" i="1"/>
  <c r="V20" i="1"/>
  <c r="V19" i="1"/>
  <c r="V18" i="1"/>
  <c r="V8" i="1"/>
  <c r="V9" i="1"/>
  <c r="V10" i="1"/>
  <c r="V11" i="1"/>
  <c r="V12" i="1"/>
  <c r="V7" i="1"/>
  <c r="AI58" i="1" l="1"/>
  <c r="Z21" i="1"/>
  <c r="AJ57" i="1"/>
  <c r="U57" i="1"/>
  <c r="AJ59" i="1"/>
  <c r="AJ58" i="1"/>
  <c r="S49" i="1"/>
  <c r="AH17" i="1" s="1"/>
  <c r="AI57" i="1"/>
  <c r="U47" i="1"/>
  <c r="AQ15" i="1" s="1"/>
  <c r="U11" i="1"/>
  <c r="AQ8" i="1" s="1"/>
  <c r="U29" i="1"/>
  <c r="W9" i="1"/>
  <c r="AJ14" i="1" s="1"/>
  <c r="S59" i="1"/>
  <c r="S57" i="1"/>
  <c r="W49" i="1"/>
  <c r="U31" i="1"/>
  <c r="W7" i="1"/>
  <c r="W29" i="1"/>
  <c r="AJ16" i="1" s="1"/>
  <c r="W59" i="1"/>
  <c r="AJ18" i="1" s="1"/>
  <c r="U59" i="1"/>
  <c r="S69" i="1"/>
  <c r="U67" i="1"/>
  <c r="S67" i="1"/>
  <c r="W67" i="1"/>
  <c r="X67" i="1" s="1"/>
  <c r="W71" i="1"/>
  <c r="W69" i="1"/>
  <c r="X69" i="1" s="1"/>
  <c r="W57" i="1"/>
  <c r="AJ10" i="1" s="1"/>
  <c r="U49" i="1"/>
  <c r="S7" i="1"/>
  <c r="S11" i="1"/>
  <c r="U27" i="1"/>
  <c r="U7" i="1"/>
  <c r="AQ6" i="1" s="1"/>
  <c r="S17" i="1"/>
  <c r="S9" i="1"/>
  <c r="U9" i="1"/>
  <c r="AQ7" i="1" s="1"/>
  <c r="S47" i="1"/>
  <c r="AR17" i="1"/>
  <c r="U39" i="1"/>
  <c r="S39" i="1"/>
  <c r="W11" i="1"/>
  <c r="AJ22" i="1" s="1"/>
  <c r="W39" i="1"/>
  <c r="S31" i="1"/>
  <c r="U17" i="1"/>
  <c r="AQ9" i="1" s="1"/>
  <c r="W17" i="1"/>
  <c r="S19" i="1"/>
  <c r="U37" i="1"/>
  <c r="W37" i="1"/>
  <c r="S37" i="1"/>
  <c r="W31" i="1"/>
  <c r="AJ24" i="1" s="1"/>
  <c r="S29" i="1"/>
  <c r="W27" i="1"/>
  <c r="U21" i="1"/>
  <c r="W21" i="1"/>
  <c r="X21" i="1" s="1"/>
  <c r="U19" i="1"/>
  <c r="AQ10" i="1" s="1"/>
  <c r="W19" i="1"/>
  <c r="AJ15" i="1" s="1"/>
  <c r="AI8" i="1" l="1"/>
  <c r="AQ12" i="1"/>
  <c r="AI24" i="1"/>
  <c r="AI17" i="1"/>
  <c r="AI16" i="1"/>
  <c r="X49" i="1"/>
  <c r="AJ17" i="1"/>
  <c r="AR16" i="1" s="1"/>
  <c r="X17" i="1"/>
  <c r="AJ7" i="1"/>
  <c r="AR9" i="1" s="1"/>
  <c r="X7" i="1"/>
  <c r="AJ6" i="1"/>
  <c r="AR6" i="1" s="1"/>
  <c r="AR13" i="1"/>
  <c r="X29" i="1"/>
  <c r="AR14" i="1"/>
  <c r="X31" i="1"/>
  <c r="X57" i="1"/>
  <c r="AR7" i="1"/>
  <c r="X9" i="1"/>
  <c r="AR10" i="1"/>
  <c r="X19" i="1"/>
  <c r="AR8" i="1"/>
  <c r="X11" i="1"/>
  <c r="X59" i="1"/>
</calcChain>
</file>

<file path=xl/sharedStrings.xml><?xml version="1.0" encoding="utf-8"?>
<sst xmlns="http://schemas.openxmlformats.org/spreadsheetml/2006/main" count="575" uniqueCount="143">
  <si>
    <t>2-methylcyclohexanone</t>
  </si>
  <si>
    <t>carbonyl substrate</t>
  </si>
  <si>
    <t>amine donor</t>
  </si>
  <si>
    <t>cyclopropylamine</t>
  </si>
  <si>
    <t>propargylamine</t>
  </si>
  <si>
    <t>3-methylcyclohexanone</t>
  </si>
  <si>
    <t>(R}-3-methylcyclohexanone</t>
  </si>
  <si>
    <t>combo</t>
  </si>
  <si>
    <t>RedAm1</t>
  </si>
  <si>
    <t>StroRedAm</t>
  </si>
  <si>
    <t>RedAm2</t>
  </si>
  <si>
    <t>PauRedAm</t>
  </si>
  <si>
    <t>prod1</t>
  </si>
  <si>
    <t>prod2</t>
  </si>
  <si>
    <t>prod3</t>
  </si>
  <si>
    <t>prod4</t>
  </si>
  <si>
    <t>RedAm3</t>
  </si>
  <si>
    <t>StrepRedAm</t>
  </si>
  <si>
    <t>de</t>
  </si>
  <si>
    <t>(A, A)</t>
  </si>
  <si>
    <t>(B, B)</t>
  </si>
  <si>
    <t>(A, B)</t>
  </si>
  <si>
    <t>(B, A)</t>
  </si>
  <si>
    <t>ee1</t>
  </si>
  <si>
    <t>ee2</t>
  </si>
  <si>
    <t>average</t>
  </si>
  <si>
    <t>*</t>
  </si>
  <si>
    <t>* first round blind test, last two peaks showed no separation</t>
  </si>
  <si>
    <t>x</t>
  </si>
  <si>
    <t>n.d.</t>
  </si>
  <si>
    <t>* second round separation, redam3 not tested on this method</t>
  </si>
  <si>
    <t>(R)</t>
  </si>
  <si>
    <t>Product</t>
  </si>
  <si>
    <t>Enzyme</t>
  </si>
  <si>
    <t>Conv. (%)</t>
  </si>
  <si>
    <t>ee1 (%)</t>
  </si>
  <si>
    <t>ee2 (%)</t>
  </si>
  <si>
    <t>de (%)</t>
  </si>
  <si>
    <t>10c</t>
  </si>
  <si>
    <t>10d</t>
  </si>
  <si>
    <t>11c</t>
  </si>
  <si>
    <t>11d</t>
  </si>
  <si>
    <t xml:space="preserve"> </t>
  </si>
  <si>
    <t>ethyl levulinate</t>
  </si>
  <si>
    <t>5c</t>
  </si>
  <si>
    <t>5d</t>
  </si>
  <si>
    <t>A</t>
  </si>
  <si>
    <t>B</t>
  </si>
  <si>
    <t>n.a.</t>
  </si>
  <si>
    <t>n.m.</t>
  </si>
  <si>
    <t>StoRedAm</t>
  </si>
  <si>
    <r>
      <rPr>
        <b/>
        <i/>
        <sz val="9"/>
        <color theme="1"/>
        <rFont val="Calibri"/>
        <family val="2"/>
      </rPr>
      <t>(R)</t>
    </r>
    <r>
      <rPr>
        <b/>
        <sz val="9"/>
        <color theme="1"/>
        <rFont val="Calibri"/>
        <family val="2"/>
      </rPr>
      <t>-11c</t>
    </r>
  </si>
  <si>
    <r>
      <rPr>
        <b/>
        <i/>
        <sz val="9"/>
        <color theme="1"/>
        <rFont val="Calibri"/>
        <family val="2"/>
      </rPr>
      <t>(R)</t>
    </r>
    <r>
      <rPr>
        <b/>
        <sz val="9"/>
        <color theme="1"/>
        <rFont val="Calibri"/>
        <family val="2"/>
      </rPr>
      <t>-11d</t>
    </r>
  </si>
  <si>
    <t>&gt;99</t>
  </si>
  <si>
    <r>
      <rPr>
        <i/>
        <sz val="9"/>
        <color theme="1"/>
        <rFont val="Calibri"/>
        <family val="2"/>
      </rPr>
      <t>de</t>
    </r>
    <r>
      <rPr>
        <sz val="9"/>
        <color theme="1"/>
        <rFont val="Calibri"/>
        <family val="2"/>
      </rPr>
      <t xml:space="preserve"> (%)</t>
    </r>
  </si>
  <si>
    <r>
      <rPr>
        <i/>
        <sz val="9"/>
        <color theme="1"/>
        <rFont val="Calibri"/>
        <family val="2"/>
      </rPr>
      <t>Pau</t>
    </r>
    <r>
      <rPr>
        <sz val="9"/>
        <color theme="1"/>
        <rFont val="Calibri"/>
        <family val="2"/>
      </rPr>
      <t>RedAm</t>
    </r>
  </si>
  <si>
    <r>
      <rPr>
        <i/>
        <sz val="9"/>
        <color theme="1"/>
        <rFont val="Calibri"/>
        <family val="2"/>
      </rPr>
      <t>Strep</t>
    </r>
    <r>
      <rPr>
        <sz val="9"/>
        <color theme="1"/>
        <rFont val="Calibri"/>
        <family val="2"/>
      </rPr>
      <t>RedAm</t>
    </r>
  </si>
  <si>
    <r>
      <rPr>
        <i/>
        <sz val="11"/>
        <color theme="1"/>
        <rFont val="Aptos Narrow"/>
        <family val="2"/>
        <scheme val="minor"/>
      </rPr>
      <t>Pau</t>
    </r>
    <r>
      <rPr>
        <sz val="11"/>
        <color theme="1"/>
        <rFont val="Aptos Narrow"/>
        <family val="2"/>
        <scheme val="minor"/>
      </rPr>
      <t>RedAm</t>
    </r>
  </si>
  <si>
    <r>
      <rPr>
        <b/>
        <i/>
        <sz val="9"/>
        <color theme="1"/>
        <rFont val="Calibri"/>
        <family val="2"/>
      </rPr>
      <t>ee1</t>
    </r>
    <r>
      <rPr>
        <b/>
        <sz val="9"/>
        <color theme="1"/>
        <rFont val="Calibri"/>
        <family val="2"/>
      </rPr>
      <t xml:space="preserve"> (%)</t>
    </r>
  </si>
  <si>
    <r>
      <rPr>
        <b/>
        <i/>
        <sz val="9"/>
        <color theme="1"/>
        <rFont val="Calibri"/>
        <family val="2"/>
      </rPr>
      <t>ee2</t>
    </r>
    <r>
      <rPr>
        <b/>
        <sz val="9"/>
        <color theme="1"/>
        <rFont val="Calibri"/>
        <family val="2"/>
      </rPr>
      <t xml:space="preserve"> (%)</t>
    </r>
  </si>
  <si>
    <r>
      <rPr>
        <b/>
        <i/>
        <sz val="9"/>
        <color theme="1"/>
        <rFont val="Calibri"/>
        <family val="2"/>
      </rPr>
      <t>de</t>
    </r>
    <r>
      <rPr>
        <b/>
        <sz val="9"/>
        <color theme="1"/>
        <rFont val="Calibri"/>
        <family val="2"/>
      </rPr>
      <t xml:space="preserve"> (%)</t>
    </r>
  </si>
  <si>
    <r>
      <rPr>
        <i/>
        <sz val="9"/>
        <color theme="1"/>
        <rFont val="Calibri"/>
        <family val="2"/>
      </rPr>
      <t>Stro</t>
    </r>
    <r>
      <rPr>
        <sz val="9"/>
        <color theme="1"/>
        <rFont val="Calibri"/>
        <family val="2"/>
      </rPr>
      <t>RedAm</t>
    </r>
  </si>
  <si>
    <t>n.d</t>
  </si>
  <si>
    <r>
      <rPr>
        <i/>
        <sz val="11"/>
        <color theme="1"/>
        <rFont val="Aptos Narrow"/>
        <family val="2"/>
        <scheme val="minor"/>
      </rPr>
      <t>de</t>
    </r>
    <r>
      <rPr>
        <sz val="11"/>
        <color theme="1"/>
        <rFont val="Aptos Narrow"/>
        <family val="2"/>
        <scheme val="minor"/>
      </rPr>
      <t xml:space="preserve"> (%)</t>
    </r>
  </si>
  <si>
    <t>de stdev</t>
  </si>
  <si>
    <t>conv stdev</t>
  </si>
  <si>
    <t>RedAm</t>
  </si>
  <si>
    <t>OYE</t>
  </si>
  <si>
    <t>product</t>
  </si>
  <si>
    <t>OYE2</t>
  </si>
  <si>
    <t>PETNR</t>
  </si>
  <si>
    <t>check</t>
  </si>
  <si>
    <r>
      <t>(</t>
    </r>
    <r>
      <rPr>
        <i/>
        <sz val="11"/>
        <color theme="1"/>
        <rFont val="Aptos Narrow"/>
        <family val="2"/>
        <scheme val="minor"/>
      </rPr>
      <t>1R, 3R</t>
    </r>
    <r>
      <rPr>
        <sz val="11"/>
        <color theme="1"/>
        <rFont val="Aptos Narrow"/>
        <family val="2"/>
        <scheme val="minor"/>
      </rPr>
      <t>) or (1</t>
    </r>
    <r>
      <rPr>
        <i/>
        <sz val="11"/>
        <color theme="1"/>
        <rFont val="Aptos Narrow"/>
        <family val="2"/>
        <scheme val="minor"/>
      </rPr>
      <t>S, 3R</t>
    </r>
    <r>
      <rPr>
        <sz val="11"/>
        <color theme="1"/>
        <rFont val="Aptos Narrow"/>
        <family val="2"/>
        <scheme val="minor"/>
      </rPr>
      <t>)</t>
    </r>
  </si>
  <si>
    <r>
      <t>(</t>
    </r>
    <r>
      <rPr>
        <i/>
        <sz val="11"/>
        <color theme="1"/>
        <rFont val="Aptos Narrow"/>
        <family val="2"/>
        <scheme val="minor"/>
      </rPr>
      <t>1R, 3R</t>
    </r>
    <r>
      <rPr>
        <sz val="11"/>
        <color theme="1"/>
        <rFont val="Aptos Narrow"/>
        <family val="2"/>
        <scheme val="minor"/>
      </rPr>
      <t>) or (</t>
    </r>
    <r>
      <rPr>
        <i/>
        <sz val="11"/>
        <color theme="1"/>
        <rFont val="Aptos Narrow"/>
        <family val="2"/>
        <scheme val="minor"/>
      </rPr>
      <t>1S, 3R</t>
    </r>
    <r>
      <rPr>
        <sz val="11"/>
        <color theme="1"/>
        <rFont val="Aptos Narrow"/>
        <family val="2"/>
        <scheme val="minor"/>
      </rPr>
      <t>)</t>
    </r>
  </si>
  <si>
    <r>
      <t>(</t>
    </r>
    <r>
      <rPr>
        <i/>
        <sz val="11"/>
        <color theme="1"/>
        <rFont val="Aptos Narrow"/>
        <family val="2"/>
        <scheme val="minor"/>
      </rPr>
      <t>1R, 3S</t>
    </r>
    <r>
      <rPr>
        <sz val="11"/>
        <color theme="1"/>
        <rFont val="Aptos Narrow"/>
        <family val="2"/>
        <scheme val="minor"/>
      </rPr>
      <t>) or (</t>
    </r>
    <r>
      <rPr>
        <i/>
        <sz val="11"/>
        <color theme="1"/>
        <rFont val="Aptos Narrow"/>
        <family val="2"/>
        <scheme val="minor"/>
      </rPr>
      <t>1S, 3S</t>
    </r>
    <r>
      <rPr>
        <sz val="11"/>
        <color theme="1"/>
        <rFont val="Aptos Narrow"/>
        <family val="2"/>
        <scheme val="minor"/>
      </rPr>
      <t>)</t>
    </r>
  </si>
  <si>
    <t>Expected product</t>
  </si>
  <si>
    <r>
      <rPr>
        <i/>
        <sz val="11"/>
        <color theme="1"/>
        <rFont val="Aptos Narrow"/>
        <family val="2"/>
        <scheme val="minor"/>
      </rPr>
      <t>Stro</t>
    </r>
    <r>
      <rPr>
        <sz val="11"/>
        <color theme="1"/>
        <rFont val="Aptos Narrow"/>
        <family val="2"/>
        <scheme val="minor"/>
      </rPr>
      <t>RedAm</t>
    </r>
  </si>
  <si>
    <r>
      <rPr>
        <i/>
        <sz val="11"/>
        <color theme="1"/>
        <rFont val="Aptos Narrow"/>
        <family val="2"/>
        <scheme val="minor"/>
      </rPr>
      <t>ee</t>
    </r>
    <r>
      <rPr>
        <sz val="11"/>
        <color theme="1"/>
        <rFont val="Aptos Narrow"/>
        <family val="2"/>
        <scheme val="minor"/>
      </rPr>
      <t>1 (%)</t>
    </r>
  </si>
  <si>
    <r>
      <t>C25D/I67T-</t>
    </r>
    <r>
      <rPr>
        <i/>
        <sz val="11"/>
        <color theme="1"/>
        <rFont val="Aptos Narrow"/>
        <family val="2"/>
        <scheme val="minor"/>
      </rPr>
      <t>Ts</t>
    </r>
    <r>
      <rPr>
        <sz val="11"/>
        <color theme="1"/>
        <rFont val="Aptos Narrow"/>
        <family val="2"/>
        <scheme val="minor"/>
      </rPr>
      <t>OYE</t>
    </r>
  </si>
  <si>
    <t>stdevconv</t>
  </si>
  <si>
    <t>stdevde</t>
  </si>
  <si>
    <t>peaks</t>
  </si>
  <si>
    <t>1R2S</t>
  </si>
  <si>
    <t>1S2R</t>
  </si>
  <si>
    <t>1R2R</t>
  </si>
  <si>
    <t>1S2S</t>
  </si>
  <si>
    <t>1S3R</t>
  </si>
  <si>
    <t>1R3S</t>
  </si>
  <si>
    <t>1R3R</t>
  </si>
  <si>
    <t>1S3S</t>
  </si>
  <si>
    <t>RS</t>
  </si>
  <si>
    <t>cis</t>
  </si>
  <si>
    <t>SR</t>
  </si>
  <si>
    <t>trans</t>
  </si>
  <si>
    <t>RR</t>
  </si>
  <si>
    <t>SS</t>
  </si>
  <si>
    <t>expected cis product or ee of single chiral amines</t>
  </si>
  <si>
    <t>expected trans product</t>
  </si>
  <si>
    <t>cis vs trans ee</t>
  </si>
  <si>
    <t>cis ee</t>
  </si>
  <si>
    <t>trans ee</t>
  </si>
  <si>
    <t>pos1ee</t>
  </si>
  <si>
    <t>pos2ee</t>
  </si>
  <si>
    <t>dr</t>
  </si>
  <si>
    <t>45:55</t>
  </si>
  <si>
    <t>47:53</t>
  </si>
  <si>
    <t>50:50</t>
  </si>
  <si>
    <t>48:52</t>
  </si>
  <si>
    <t>31:69</t>
  </si>
  <si>
    <t>38:62</t>
  </si>
  <si>
    <t>0:100</t>
  </si>
  <si>
    <t>37:63</t>
  </si>
  <si>
    <t>15:85</t>
  </si>
  <si>
    <t>R</t>
  </si>
  <si>
    <t>er</t>
  </si>
  <si>
    <t>100:0</t>
  </si>
  <si>
    <t>29:71</t>
  </si>
  <si>
    <t>s vs r product</t>
  </si>
  <si>
    <t>44:56</t>
  </si>
  <si>
    <t>d.r. (cis : trans)</t>
  </si>
  <si>
    <r>
      <rPr>
        <b/>
        <i/>
        <sz val="9"/>
        <color theme="1"/>
        <rFont val="Calibri"/>
        <family val="2"/>
      </rPr>
      <t>ee</t>
    </r>
    <r>
      <rPr>
        <b/>
        <sz val="9"/>
        <color theme="1"/>
        <rFont val="Calibri"/>
        <family val="2"/>
      </rPr>
      <t>(</t>
    </r>
    <r>
      <rPr>
        <b/>
        <i/>
        <sz val="9"/>
        <color theme="1"/>
        <rFont val="Calibri"/>
        <family val="2"/>
      </rPr>
      <t>1</t>
    </r>
    <r>
      <rPr>
        <b/>
        <sz val="9"/>
        <color theme="1"/>
        <rFont val="Calibri"/>
        <family val="2"/>
      </rPr>
      <t>R) (%)</t>
    </r>
  </si>
  <si>
    <r>
      <rPr>
        <b/>
        <i/>
        <sz val="9"/>
        <color theme="1"/>
        <rFont val="Calibri"/>
        <family val="2"/>
      </rPr>
      <t>ee(2R/3</t>
    </r>
    <r>
      <rPr>
        <b/>
        <sz val="9"/>
        <color theme="1"/>
        <rFont val="Calibri"/>
        <family val="2"/>
      </rPr>
      <t>R</t>
    </r>
    <r>
      <rPr>
        <b/>
        <i/>
        <sz val="9"/>
        <color theme="1"/>
        <rFont val="Calibri"/>
        <family val="2"/>
      </rPr>
      <t>)</t>
    </r>
    <r>
      <rPr>
        <b/>
        <sz val="9"/>
        <color theme="1"/>
        <rFont val="Calibri"/>
        <family val="2"/>
      </rPr>
      <t xml:space="preserve"> (%)</t>
    </r>
  </si>
  <si>
    <t>e.r. (1R:1S)</t>
  </si>
  <si>
    <t>18:82</t>
  </si>
  <si>
    <t>&gt;99:&lt;1</t>
  </si>
  <si>
    <t>&lt;1:&gt;99</t>
  </si>
  <si>
    <t>e.r. (2R/3R : 2S/3S</t>
  </si>
  <si>
    <t>1R</t>
  </si>
  <si>
    <t>3R</t>
  </si>
  <si>
    <t>53:47</t>
  </si>
  <si>
    <t>52:48</t>
  </si>
  <si>
    <t>62:38</t>
  </si>
  <si>
    <t>32:68</t>
  </si>
  <si>
    <t>49:51</t>
  </si>
  <si>
    <t>58:42</t>
  </si>
  <si>
    <t>51:49</t>
  </si>
  <si>
    <t>13:87</t>
  </si>
  <si>
    <t>69:31</t>
  </si>
  <si>
    <r>
      <rPr>
        <b/>
        <i/>
        <sz val="11"/>
        <color theme="1"/>
        <rFont val="Aptos Narrow"/>
        <family val="2"/>
        <scheme val="minor"/>
      </rPr>
      <t>(2R)</t>
    </r>
    <r>
      <rPr>
        <b/>
        <sz val="11"/>
        <color theme="1"/>
        <rFont val="Aptos Narrow"/>
        <family val="2"/>
        <scheme val="minor"/>
      </rPr>
      <t>-10d</t>
    </r>
  </si>
  <si>
    <r>
      <rPr>
        <b/>
        <i/>
        <sz val="11"/>
        <color theme="1"/>
        <rFont val="Aptos Narrow"/>
        <family val="2"/>
        <scheme val="minor"/>
      </rPr>
      <t>(3R)</t>
    </r>
    <r>
      <rPr>
        <b/>
        <sz val="11"/>
        <color theme="1"/>
        <rFont val="Aptos Narrow"/>
        <family val="2"/>
        <scheme val="minor"/>
      </rPr>
      <t>-11c</t>
    </r>
  </si>
  <si>
    <r>
      <rPr>
        <b/>
        <i/>
        <sz val="11"/>
        <color theme="1"/>
        <rFont val="Aptos Narrow"/>
        <family val="2"/>
        <scheme val="minor"/>
      </rPr>
      <t>(3R)</t>
    </r>
    <r>
      <rPr>
        <b/>
        <sz val="11"/>
        <color theme="1"/>
        <rFont val="Aptos Narrow"/>
        <family val="2"/>
        <scheme val="minor"/>
      </rPr>
      <t>-11d</t>
    </r>
  </si>
  <si>
    <r>
      <rPr>
        <b/>
        <i/>
        <sz val="11"/>
        <color theme="1"/>
        <rFont val="Aptos Narrow"/>
        <family val="2"/>
        <scheme val="minor"/>
      </rPr>
      <t>(3S)</t>
    </r>
    <r>
      <rPr>
        <b/>
        <sz val="11"/>
        <color theme="1"/>
        <rFont val="Aptos Narrow"/>
        <family val="2"/>
        <scheme val="minor"/>
      </rPr>
      <t>-11d</t>
    </r>
  </si>
  <si>
    <r>
      <rPr>
        <b/>
        <i/>
        <sz val="11"/>
        <color theme="1"/>
        <rFont val="Aptos Narrow"/>
        <family val="2"/>
        <scheme val="minor"/>
      </rPr>
      <t>(2R)</t>
    </r>
    <r>
      <rPr>
        <b/>
        <sz val="11"/>
        <color theme="1"/>
        <rFont val="Aptos Narrow"/>
        <family val="2"/>
        <scheme val="minor"/>
      </rPr>
      <t>-10c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</si>
</sst>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9"/>
      <color theme="1"/>
      <name val="Calibri"/>
      <family val="2"/>
    </font>
    <font>
      <i/>
      <sz val="9"/>
      <color theme="1"/>
      <name val="Calibri"/>
      <family val="2"/>
    </font>
    <font>
      <b/>
      <sz val="9"/>
      <color theme="1"/>
      <name val="Calibri"/>
      <family val="2"/>
    </font>
    <font>
      <b/>
      <i/>
      <sz val="9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5C0A5"/>
        <bgColor indexed="64"/>
      </patternFill>
    </fill>
    <fill>
      <patternFill patternType="solid">
        <fgColor rgb="FFEF9867"/>
        <bgColor indexed="64"/>
      </patternFill>
    </fill>
    <fill>
      <patternFill patternType="solid">
        <fgColor rgb="FFD7571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4" xfId="0" applyFont="1" applyBorder="1"/>
    <xf numFmtId="0" fontId="5" fillId="0" borderId="5" xfId="0" applyFont="1" applyBorder="1"/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left"/>
    </xf>
    <xf numFmtId="0" fontId="7" fillId="0" borderId="0" xfId="0" applyFont="1"/>
    <xf numFmtId="164" fontId="5" fillId="0" borderId="0" xfId="0" applyNumberFormat="1" applyFont="1"/>
    <xf numFmtId="164" fontId="5" fillId="0" borderId="5" xfId="0" applyNumberFormat="1" applyFont="1" applyBorder="1"/>
    <xf numFmtId="0" fontId="5" fillId="0" borderId="6" xfId="0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" fontId="5" fillId="0" borderId="0" xfId="0" applyNumberFormat="1" applyFont="1"/>
    <xf numFmtId="1" fontId="5" fillId="0" borderId="5" xfId="0" applyNumberFormat="1" applyFont="1" applyBorder="1"/>
    <xf numFmtId="1" fontId="5" fillId="0" borderId="7" xfId="0" applyNumberFormat="1" applyFont="1" applyBorder="1"/>
    <xf numFmtId="1" fontId="5" fillId="0" borderId="8" xfId="0" applyNumberFormat="1" applyFont="1" applyBorder="1"/>
    <xf numFmtId="0" fontId="5" fillId="0" borderId="7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" fontId="5" fillId="0" borderId="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1" fillId="2" borderId="1" xfId="1" applyBorder="1"/>
    <xf numFmtId="0" fontId="1" fillId="2" borderId="2" xfId="1" applyBorder="1"/>
    <xf numFmtId="0" fontId="1" fillId="2" borderId="3" xfId="1" applyBorder="1"/>
    <xf numFmtId="0" fontId="1" fillId="2" borderId="4" xfId="1" applyBorder="1"/>
    <xf numFmtId="0" fontId="1" fillId="2" borderId="0" xfId="1" applyBorder="1"/>
    <xf numFmtId="0" fontId="1" fillId="2" borderId="5" xfId="1" applyBorder="1"/>
    <xf numFmtId="1" fontId="1" fillId="2" borderId="0" xfId="1" applyNumberFormat="1" applyBorder="1"/>
    <xf numFmtId="1" fontId="1" fillId="2" borderId="5" xfId="1" applyNumberFormat="1" applyBorder="1"/>
    <xf numFmtId="0" fontId="1" fillId="2" borderId="6" xfId="1" applyBorder="1"/>
    <xf numFmtId="0" fontId="1" fillId="2" borderId="7" xfId="1" applyBorder="1"/>
    <xf numFmtId="1" fontId="1" fillId="2" borderId="7" xfId="1" applyNumberFormat="1" applyBorder="1"/>
    <xf numFmtId="1" fontId="1" fillId="2" borderId="8" xfId="1" applyNumberForma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0" fontId="7" fillId="0" borderId="7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1" fontId="5" fillId="0" borderId="7" xfId="0" applyNumberFormat="1" applyFont="1" applyBorder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5" fillId="6" borderId="1" xfId="0" applyFont="1" applyFill="1" applyBorder="1"/>
    <xf numFmtId="49" fontId="5" fillId="0" borderId="0" xfId="0" applyNumberFormat="1" applyFont="1"/>
  </cellXfs>
  <cellStyles count="2">
    <cellStyle name="Bad" xfId="1" builtinId="27"/>
    <cellStyle name="Normal" xfId="0" builtinId="0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numFmt numFmtId="1" formatCode="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none"/>
      </font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5C0A5"/>
      <color rgb="FFEF98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091136617873"/>
          <c:y val="0.35867528516666231"/>
          <c:w val="0.75798501238747029"/>
          <c:h val="0.4954787909575819"/>
        </c:manualLayout>
      </c:layout>
      <c:barChart>
        <c:barDir val="col"/>
        <c:grouping val="clustered"/>
        <c:varyColors val="0"/>
        <c:ser>
          <c:idx val="1"/>
          <c:order val="0"/>
          <c:tx>
            <c:v>conversions</c:v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5C0A5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859-45BF-BD56-8D1A2AE0C5B2}"/>
              </c:ext>
            </c:extLst>
          </c:dPt>
          <c:dPt>
            <c:idx val="1"/>
            <c:invertIfNegative val="0"/>
            <c:bubble3D val="0"/>
            <c:spPr>
              <a:solidFill>
                <a:srgbClr val="EF9867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859-45BF-BD56-8D1A2AE0C5B2}"/>
              </c:ext>
            </c:extLst>
          </c:dPt>
          <c:dPt>
            <c:idx val="2"/>
            <c:invertIfNegative val="0"/>
            <c:bubble3D val="0"/>
            <c:spPr>
              <a:solidFill>
                <a:srgbClr val="F5C0A5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859-45BF-BD56-8D1A2AE0C5B2}"/>
              </c:ext>
            </c:extLst>
          </c:dPt>
          <c:dPt>
            <c:idx val="3"/>
            <c:invertIfNegative val="0"/>
            <c:bubble3D val="0"/>
            <c:spPr>
              <a:solidFill>
                <a:srgbClr val="EF9867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859-45BF-BD56-8D1A2AE0C5B2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Sheet1!$AJ$57:$AJ$60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Sheet1!$AJ$57:$AJ$60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Sheet1!$AN$23:$AN$26</c:f>
              <c:strCache>
                <c:ptCount val="4"/>
                <c:pt idx="0">
                  <c:v>StroRedAm</c:v>
                </c:pt>
                <c:pt idx="1">
                  <c:v>PauRedAm</c:v>
                </c:pt>
                <c:pt idx="2">
                  <c:v>StroRedAm</c:v>
                </c:pt>
                <c:pt idx="3">
                  <c:v>PauRedAm</c:v>
                </c:pt>
              </c:strCache>
            </c:strRef>
          </c:cat>
          <c:val>
            <c:numRef>
              <c:f>Sheet1!$AO$23:$AO$26</c:f>
              <c:numCache>
                <c:formatCode>General</c:formatCode>
                <c:ptCount val="4"/>
                <c:pt idx="0">
                  <c:v>99</c:v>
                </c:pt>
                <c:pt idx="1">
                  <c:v>99</c:v>
                </c:pt>
                <c:pt idx="2">
                  <c:v>99</c:v>
                </c:pt>
                <c:pt idx="3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59-45BF-BD56-8D1A2AE0C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5297008"/>
        <c:axId val="865303728"/>
      </c:barChart>
      <c:scatterChart>
        <c:scatterStyle val="lineMarker"/>
        <c:varyColors val="0"/>
        <c:ser>
          <c:idx val="2"/>
          <c:order val="1"/>
          <c:tx>
            <c:v>de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Sheet1!$AI$57:$AI$60</c:f>
                <c:numCache>
                  <c:formatCode>General</c:formatCode>
                  <c:ptCount val="4"/>
                  <c:pt idx="0">
                    <c:v>0.33328159035372601</c:v>
                  </c:pt>
                  <c:pt idx="1">
                    <c:v>0.86715734875506423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Sheet1!$AI$57:$AI$60</c:f>
                <c:numCache>
                  <c:formatCode>General</c:formatCode>
                  <c:ptCount val="4"/>
                  <c:pt idx="0">
                    <c:v>0.33328159035372601</c:v>
                  </c:pt>
                  <c:pt idx="1">
                    <c:v>0.86715734875506423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Sheet1!$AR$23:$AR$26</c:f>
              <c:numCache>
                <c:formatCode>0</c:formatCode>
                <c:ptCount val="4"/>
                <c:pt idx="0">
                  <c:v>70.905427398534471</c:v>
                </c:pt>
                <c:pt idx="1">
                  <c:v>9.3703255081745294</c:v>
                </c:pt>
                <c:pt idx="2" formatCode="General">
                  <c:v>99</c:v>
                </c:pt>
                <c:pt idx="3" formatCode="General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59-45BF-BD56-8D1A2AE0C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790336"/>
        <c:axId val="1032069951"/>
      </c:scatterChart>
      <c:catAx>
        <c:axId val="8652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865303728"/>
        <c:crosses val="autoZero"/>
        <c:auto val="1"/>
        <c:lblAlgn val="ctr"/>
        <c:lblOffset val="100"/>
        <c:noMultiLvlLbl val="0"/>
      </c:catAx>
      <c:valAx>
        <c:axId val="86530372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en-US" b="1"/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865297008"/>
        <c:crosses val="autoZero"/>
        <c:crossBetween val="between"/>
      </c:valAx>
      <c:valAx>
        <c:axId val="1032069951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 i="1"/>
                  <a:t>de</a:t>
                </a:r>
                <a:r>
                  <a:rPr lang="nl-NL" b="1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452790336"/>
        <c:crosses val="max"/>
        <c:crossBetween val="midCat"/>
      </c:valAx>
      <c:valAx>
        <c:axId val="45279033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206995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Calibri" panose="020F0502020204030204" pitchFamily="34" charset="0"/>
          <a:ea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53661076667021E-2"/>
          <c:y val="4.1662483252331226E-2"/>
          <c:w val="0.93491696109061773"/>
          <c:h val="0.75048193416378639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Sheet1!$BA$5</c:f>
              <c:strCache>
                <c:ptCount val="1"/>
                <c:pt idx="0">
                  <c:v>ee1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Sheet1!$AZ$6:$AZ$20</c:f>
              <c:numCache>
                <c:formatCode>General</c:formatCode>
                <c:ptCount val="15"/>
                <c:pt idx="1">
                  <c:v>89</c:v>
                </c:pt>
                <c:pt idx="3" formatCode="0">
                  <c:v>99</c:v>
                </c:pt>
                <c:pt idx="4" formatCode="0">
                  <c:v>99</c:v>
                </c:pt>
                <c:pt idx="5" formatCode="0">
                  <c:v>99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28.182481063224593</c:v>
                </c:pt>
                <c:pt idx="11" formatCode="0">
                  <c:v>99</c:v>
                </c:pt>
                <c:pt idx="12" formatCode="0">
                  <c:v>99</c:v>
                </c:pt>
                <c:pt idx="13" formatCode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7B-4747-892E-EF5D40E51460}"/>
            </c:ext>
          </c:extLst>
        </c:ser>
        <c:ser>
          <c:idx val="3"/>
          <c:order val="2"/>
          <c:tx>
            <c:strRef>
              <c:f>Sheet1!$BB$5</c:f>
              <c:strCache>
                <c:ptCount val="1"/>
                <c:pt idx="0">
                  <c:v>ee2 (%)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Sheet1!$BA$6:$BA$20</c:f>
              <c:numCache>
                <c:formatCode>General</c:formatCode>
                <c:ptCount val="15"/>
                <c:pt idx="3" formatCode="0">
                  <c:v>99</c:v>
                </c:pt>
                <c:pt idx="4" formatCode="0">
                  <c:v>99</c:v>
                </c:pt>
                <c:pt idx="5" formatCode="0">
                  <c:v>99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99</c:v>
                </c:pt>
                <c:pt idx="9" formatCode="0">
                  <c:v>2.1044834175528955</c:v>
                </c:pt>
                <c:pt idx="10" formatCode="0">
                  <c:v>46.956532632722642</c:v>
                </c:pt>
                <c:pt idx="11" formatCode="0">
                  <c:v>63.747956757882314</c:v>
                </c:pt>
                <c:pt idx="12" formatCode="0">
                  <c:v>99</c:v>
                </c:pt>
                <c:pt idx="13" formatCode="0">
                  <c:v>28</c:v>
                </c:pt>
                <c:pt idx="14" formatCode="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7B-4747-892E-EF5D40E51460}"/>
            </c:ext>
          </c:extLst>
        </c:ser>
        <c:ser>
          <c:idx val="4"/>
          <c:order val="3"/>
          <c:tx>
            <c:strRef>
              <c:f>Sheet1!$BC$5</c:f>
              <c:strCache>
                <c:ptCount val="1"/>
                <c:pt idx="0">
                  <c:v>de (%)</c:v>
                </c:pt>
              </c:strCache>
            </c:strRef>
          </c:tx>
          <c:spPr>
            <a:solidFill>
              <a:schemeClr val="accent1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Sheet1!$BB$6:$BB$20</c:f>
              <c:numCache>
                <c:formatCode>General</c:formatCode>
                <c:ptCount val="15"/>
                <c:pt idx="3" formatCode="0">
                  <c:v>3.94557260362207</c:v>
                </c:pt>
                <c:pt idx="4" formatCode="0">
                  <c:v>5.1734382080076848</c:v>
                </c:pt>
                <c:pt idx="5" formatCode="0">
                  <c:v>38.414383257467975</c:v>
                </c:pt>
                <c:pt idx="6" formatCode="0">
                  <c:v>3.3129867567534768</c:v>
                </c:pt>
                <c:pt idx="7" formatCode="0">
                  <c:v>23.697192961708602</c:v>
                </c:pt>
                <c:pt idx="8" formatCode="0">
                  <c:v>99</c:v>
                </c:pt>
                <c:pt idx="9" formatCode="0">
                  <c:v>99</c:v>
                </c:pt>
                <c:pt idx="10" formatCode="0">
                  <c:v>25.098108932532853</c:v>
                </c:pt>
                <c:pt idx="11" formatCode="0">
                  <c:v>42.689888591819241</c:v>
                </c:pt>
                <c:pt idx="12" formatCode="0">
                  <c:v>0.73294247203035456</c:v>
                </c:pt>
                <c:pt idx="13" formatCode="0">
                  <c:v>62.731525437297357</c:v>
                </c:pt>
                <c:pt idx="14" formatCode="0">
                  <c:v>91.018334480812939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7B-4747-892E-EF5D40E51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3463199"/>
        <c:axId val="123485279"/>
      </c:barChart>
      <c:scatterChart>
        <c:scatterStyle val="lineMarker"/>
        <c:varyColors val="0"/>
        <c:ser>
          <c:idx val="1"/>
          <c:order val="0"/>
          <c:tx>
            <c:strRef>
              <c:f>Sheet1!$BD$5</c:f>
              <c:strCache>
                <c:ptCount val="1"/>
                <c:pt idx="0">
                  <c:v>Conv.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6000"/>
                </a:schemeClr>
              </a:solidFill>
              <a:ln w="9525">
                <a:solidFill>
                  <a:schemeClr val="accent1">
                    <a:shade val="76000"/>
                  </a:schemeClr>
                </a:solidFill>
              </a:ln>
              <a:effectLst/>
            </c:spPr>
          </c:marker>
          <c:xVal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xVal>
          <c:yVal>
            <c:numRef>
              <c:f>Sheet1!$BC$6:$BC$20</c:f>
              <c:numCache>
                <c:formatCode>General</c:formatCode>
                <c:ptCount val="15"/>
                <c:pt idx="1">
                  <c:v>58</c:v>
                </c:pt>
                <c:pt idx="3" formatCode="0">
                  <c:v>85</c:v>
                </c:pt>
                <c:pt idx="4" formatCode="0">
                  <c:v>99</c:v>
                </c:pt>
                <c:pt idx="5" formatCode="0">
                  <c:v>30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11</c:v>
                </c:pt>
                <c:pt idx="9" formatCode="0">
                  <c:v>99</c:v>
                </c:pt>
                <c:pt idx="10" formatCode="0">
                  <c:v>99</c:v>
                </c:pt>
                <c:pt idx="11" formatCode="0">
                  <c:v>99</c:v>
                </c:pt>
                <c:pt idx="12" formatCode="0">
                  <c:v>99</c:v>
                </c:pt>
                <c:pt idx="13" formatCode="0">
                  <c:v>99</c:v>
                </c:pt>
                <c:pt idx="14" formatCode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7B-4747-892E-EF5D40E51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63199"/>
        <c:axId val="123485279"/>
      </c:scatterChart>
      <c:catAx>
        <c:axId val="1234631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3485279"/>
        <c:crosses val="autoZero"/>
        <c:auto val="1"/>
        <c:lblAlgn val="ctr"/>
        <c:lblOffset val="100"/>
        <c:noMultiLvlLbl val="0"/>
      </c:catAx>
      <c:valAx>
        <c:axId val="123485279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3463199"/>
        <c:crosses val="autoZero"/>
        <c:crossBetween val="between"/>
      </c:valAx>
      <c:spPr>
        <a:noFill/>
        <a:ln w="9525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53661076667021E-2"/>
          <c:y val="4.1662483252331226E-2"/>
          <c:w val="0.93491696109061773"/>
          <c:h val="0.750481934163786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Sheet1!$AZ$5</c:f>
              <c:strCache>
                <c:ptCount val="1"/>
                <c:pt idx="0">
                  <c:v>Enzyme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Sheet1!$AX$9:$AX$20</c:f>
              <c:strCache>
                <c:ptCount val="12"/>
                <c:pt idx="0">
                  <c:v>10c</c:v>
                </c:pt>
                <c:pt idx="1">
                  <c:v>10c</c:v>
                </c:pt>
                <c:pt idx="2">
                  <c:v>10c</c:v>
                </c:pt>
                <c:pt idx="3">
                  <c:v>10d</c:v>
                </c:pt>
                <c:pt idx="4">
                  <c:v>10d</c:v>
                </c:pt>
                <c:pt idx="5">
                  <c:v>10d</c:v>
                </c:pt>
                <c:pt idx="6">
                  <c:v>11c</c:v>
                </c:pt>
                <c:pt idx="7">
                  <c:v>11c</c:v>
                </c:pt>
                <c:pt idx="8">
                  <c:v>11c</c:v>
                </c:pt>
                <c:pt idx="9">
                  <c:v>11d</c:v>
                </c:pt>
                <c:pt idx="10">
                  <c:v>11d</c:v>
                </c:pt>
                <c:pt idx="11">
                  <c:v>11d</c:v>
                </c:pt>
              </c:strCache>
            </c:strRef>
          </c:cat>
          <c:val>
            <c:numRef>
              <c:f>Sheet1!$AY$9:$AY$20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B3-47B2-A72A-B835565E9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3463199"/>
        <c:axId val="123485279"/>
      </c:barChart>
      <c:barChart>
        <c:barDir val="col"/>
        <c:grouping val="clustered"/>
        <c:varyColors val="0"/>
        <c:ser>
          <c:idx val="2"/>
          <c:order val="2"/>
          <c:tx>
            <c:strRef>
              <c:f>Sheet1!$BA$5</c:f>
              <c:strCache>
                <c:ptCount val="1"/>
                <c:pt idx="0">
                  <c:v>ee1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Sheet1!$AZ$6:$AZ$20</c:f>
              <c:numCache>
                <c:formatCode>General</c:formatCode>
                <c:ptCount val="15"/>
                <c:pt idx="1">
                  <c:v>89</c:v>
                </c:pt>
                <c:pt idx="3" formatCode="0">
                  <c:v>99</c:v>
                </c:pt>
                <c:pt idx="4" formatCode="0">
                  <c:v>99</c:v>
                </c:pt>
                <c:pt idx="5" formatCode="0">
                  <c:v>99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28.182481063224593</c:v>
                </c:pt>
                <c:pt idx="11" formatCode="0">
                  <c:v>99</c:v>
                </c:pt>
                <c:pt idx="12" formatCode="0">
                  <c:v>99</c:v>
                </c:pt>
                <c:pt idx="13" formatCode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B3-47B2-A72A-B835565E9EDA}"/>
            </c:ext>
          </c:extLst>
        </c:ser>
        <c:ser>
          <c:idx val="3"/>
          <c:order val="3"/>
          <c:tx>
            <c:strRef>
              <c:f>Sheet1!$BB$5</c:f>
              <c:strCache>
                <c:ptCount val="1"/>
                <c:pt idx="0">
                  <c:v>ee2 (%)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Sheet1!$BA$6:$BA$20</c:f>
              <c:numCache>
                <c:formatCode>General</c:formatCode>
                <c:ptCount val="15"/>
                <c:pt idx="3" formatCode="0">
                  <c:v>99</c:v>
                </c:pt>
                <c:pt idx="4" formatCode="0">
                  <c:v>99</c:v>
                </c:pt>
                <c:pt idx="5" formatCode="0">
                  <c:v>99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99</c:v>
                </c:pt>
                <c:pt idx="9" formatCode="0">
                  <c:v>2.1044834175528955</c:v>
                </c:pt>
                <c:pt idx="10" formatCode="0">
                  <c:v>46.956532632722642</c:v>
                </c:pt>
                <c:pt idx="11" formatCode="0">
                  <c:v>63.747956757882314</c:v>
                </c:pt>
                <c:pt idx="12" formatCode="0">
                  <c:v>99</c:v>
                </c:pt>
                <c:pt idx="13" formatCode="0">
                  <c:v>28</c:v>
                </c:pt>
                <c:pt idx="14" formatCode="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B3-47B2-A72A-B835565E9EDA}"/>
            </c:ext>
          </c:extLst>
        </c:ser>
        <c:ser>
          <c:idx val="4"/>
          <c:order val="4"/>
          <c:tx>
            <c:strRef>
              <c:f>Sheet1!$BC$5</c:f>
              <c:strCache>
                <c:ptCount val="1"/>
                <c:pt idx="0">
                  <c:v>de (%)</c:v>
                </c:pt>
              </c:strCache>
            </c:strRef>
          </c:tx>
          <c:spPr>
            <a:solidFill>
              <a:schemeClr val="accent1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Sheet1!$AX$6:$AX$20</c:f>
              <c:strCache>
                <c:ptCount val="15"/>
                <c:pt idx="0">
                  <c:v>5d</c:v>
                </c:pt>
                <c:pt idx="1">
                  <c:v>5d</c:v>
                </c:pt>
                <c:pt idx="2">
                  <c:v>5d</c:v>
                </c:pt>
                <c:pt idx="3">
                  <c:v>10c</c:v>
                </c:pt>
                <c:pt idx="4">
                  <c:v>10c</c:v>
                </c:pt>
                <c:pt idx="5">
                  <c:v>10c</c:v>
                </c:pt>
                <c:pt idx="6">
                  <c:v>10d</c:v>
                </c:pt>
                <c:pt idx="7">
                  <c:v>10d</c:v>
                </c:pt>
                <c:pt idx="8">
                  <c:v>10d</c:v>
                </c:pt>
                <c:pt idx="9">
                  <c:v>11c</c:v>
                </c:pt>
                <c:pt idx="10">
                  <c:v>11c</c:v>
                </c:pt>
                <c:pt idx="11">
                  <c:v>11c</c:v>
                </c:pt>
                <c:pt idx="12">
                  <c:v>11d</c:v>
                </c:pt>
                <c:pt idx="13">
                  <c:v>11d</c:v>
                </c:pt>
                <c:pt idx="14">
                  <c:v>11d</c:v>
                </c:pt>
              </c:strCache>
            </c:strRef>
          </c:cat>
          <c:val>
            <c:numRef>
              <c:f>Sheet1!$BB$6:$BB$20</c:f>
              <c:numCache>
                <c:formatCode>General</c:formatCode>
                <c:ptCount val="15"/>
                <c:pt idx="3" formatCode="0">
                  <c:v>3.94557260362207</c:v>
                </c:pt>
                <c:pt idx="4" formatCode="0">
                  <c:v>5.1734382080076848</c:v>
                </c:pt>
                <c:pt idx="5" formatCode="0">
                  <c:v>38.414383257467975</c:v>
                </c:pt>
                <c:pt idx="6" formatCode="0">
                  <c:v>3.3129867567534768</c:v>
                </c:pt>
                <c:pt idx="7" formatCode="0">
                  <c:v>23.697192961708602</c:v>
                </c:pt>
                <c:pt idx="8" formatCode="0">
                  <c:v>99</c:v>
                </c:pt>
                <c:pt idx="9" formatCode="0">
                  <c:v>99</c:v>
                </c:pt>
                <c:pt idx="10" formatCode="0">
                  <c:v>25.098108932532853</c:v>
                </c:pt>
                <c:pt idx="11" formatCode="0">
                  <c:v>42.689888591819241</c:v>
                </c:pt>
                <c:pt idx="12" formatCode="0">
                  <c:v>0.73294247203035456</c:v>
                </c:pt>
                <c:pt idx="13" formatCode="0">
                  <c:v>62.731525437297357</c:v>
                </c:pt>
                <c:pt idx="14" formatCode="0">
                  <c:v>91.018334480812939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B3-47B2-A72A-B835565E9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9915615"/>
        <c:axId val="169909375"/>
      </c:barChart>
      <c:scatterChart>
        <c:scatterStyle val="lineMarker"/>
        <c:varyColors val="0"/>
        <c:ser>
          <c:idx val="1"/>
          <c:order val="1"/>
          <c:tx>
            <c:strRef>
              <c:f>Sheet1!$BD$5</c:f>
              <c:strCache>
                <c:ptCount val="1"/>
                <c:pt idx="0">
                  <c:v>Conv.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6000"/>
                </a:schemeClr>
              </a:solidFill>
              <a:ln w="9525">
                <a:solidFill>
                  <a:schemeClr val="accent1">
                    <a:shade val="76000"/>
                  </a:schemeClr>
                </a:solidFill>
              </a:ln>
              <a:effectLst/>
            </c:spPr>
          </c:marker>
          <c:xVal>
            <c:strRef>
              <c:f>Sheet1!$AX$9:$AX$20</c:f>
              <c:strCache>
                <c:ptCount val="12"/>
                <c:pt idx="0">
                  <c:v>10c</c:v>
                </c:pt>
                <c:pt idx="1">
                  <c:v>10c</c:v>
                </c:pt>
                <c:pt idx="2">
                  <c:v>10c</c:v>
                </c:pt>
                <c:pt idx="3">
                  <c:v>10d</c:v>
                </c:pt>
                <c:pt idx="4">
                  <c:v>10d</c:v>
                </c:pt>
                <c:pt idx="5">
                  <c:v>10d</c:v>
                </c:pt>
                <c:pt idx="6">
                  <c:v>11c</c:v>
                </c:pt>
                <c:pt idx="7">
                  <c:v>11c</c:v>
                </c:pt>
                <c:pt idx="8">
                  <c:v>11c</c:v>
                </c:pt>
                <c:pt idx="9">
                  <c:v>11d</c:v>
                </c:pt>
                <c:pt idx="10">
                  <c:v>11d</c:v>
                </c:pt>
                <c:pt idx="11">
                  <c:v>11d</c:v>
                </c:pt>
              </c:strCache>
            </c:strRef>
          </c:xVal>
          <c:yVal>
            <c:numRef>
              <c:f>Sheet1!$BC$6:$BC$20</c:f>
              <c:numCache>
                <c:formatCode>General</c:formatCode>
                <c:ptCount val="15"/>
                <c:pt idx="1">
                  <c:v>58</c:v>
                </c:pt>
                <c:pt idx="3" formatCode="0">
                  <c:v>85</c:v>
                </c:pt>
                <c:pt idx="4" formatCode="0">
                  <c:v>99</c:v>
                </c:pt>
                <c:pt idx="5" formatCode="0">
                  <c:v>30</c:v>
                </c:pt>
                <c:pt idx="6" formatCode="0">
                  <c:v>99</c:v>
                </c:pt>
                <c:pt idx="7" formatCode="0">
                  <c:v>99</c:v>
                </c:pt>
                <c:pt idx="8" formatCode="0">
                  <c:v>11</c:v>
                </c:pt>
                <c:pt idx="9" formatCode="0">
                  <c:v>99</c:v>
                </c:pt>
                <c:pt idx="10" formatCode="0">
                  <c:v>99</c:v>
                </c:pt>
                <c:pt idx="11" formatCode="0">
                  <c:v>99</c:v>
                </c:pt>
                <c:pt idx="12" formatCode="0">
                  <c:v>99</c:v>
                </c:pt>
                <c:pt idx="13" formatCode="0">
                  <c:v>99</c:v>
                </c:pt>
                <c:pt idx="14" formatCode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B3-47B2-A72A-B835565E9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15615"/>
        <c:axId val="169909375"/>
      </c:scatterChart>
      <c:catAx>
        <c:axId val="1234631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3485279"/>
        <c:crosses val="autoZero"/>
        <c:auto val="1"/>
        <c:lblAlgn val="ctr"/>
        <c:lblOffset val="100"/>
        <c:noMultiLvlLbl val="0"/>
      </c:catAx>
      <c:valAx>
        <c:axId val="123485279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3463199"/>
        <c:crosses val="autoZero"/>
        <c:crossBetween val="between"/>
      </c:valAx>
      <c:valAx>
        <c:axId val="169909375"/>
        <c:scaling>
          <c:orientation val="minMax"/>
          <c:max val="1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9915615"/>
        <c:crosses val="max"/>
        <c:crossBetween val="between"/>
      </c:valAx>
      <c:catAx>
        <c:axId val="1699156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909375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cascade!$L$21:$L$29</c:f>
                <c:numCache>
                  <c:formatCode>General</c:formatCode>
                  <c:ptCount val="9"/>
                  <c:pt idx="0">
                    <c:v>0.65</c:v>
                  </c:pt>
                  <c:pt idx="1">
                    <c:v>3.43</c:v>
                  </c:pt>
                  <c:pt idx="2">
                    <c:v>0.59</c:v>
                  </c:pt>
                  <c:pt idx="3">
                    <c:v>4.6500000000000004</c:v>
                  </c:pt>
                  <c:pt idx="4">
                    <c:v>1.7</c:v>
                  </c:pt>
                  <c:pt idx="5">
                    <c:v>2.61</c:v>
                  </c:pt>
                  <c:pt idx="6">
                    <c:v>16.61</c:v>
                  </c:pt>
                  <c:pt idx="7">
                    <c:v>0</c:v>
                  </c:pt>
                  <c:pt idx="8">
                    <c:v>1.79</c:v>
                  </c:pt>
                </c:numCache>
              </c:numRef>
            </c:plus>
            <c:minus>
              <c:numRef>
                <c:f>cascade!$L$21:$L$29</c:f>
                <c:numCache>
                  <c:formatCode>General</c:formatCode>
                  <c:ptCount val="9"/>
                  <c:pt idx="0">
                    <c:v>0.65</c:v>
                  </c:pt>
                  <c:pt idx="1">
                    <c:v>3.43</c:v>
                  </c:pt>
                  <c:pt idx="2">
                    <c:v>0.59</c:v>
                  </c:pt>
                  <c:pt idx="3">
                    <c:v>4.6500000000000004</c:v>
                  </c:pt>
                  <c:pt idx="4">
                    <c:v>1.7</c:v>
                  </c:pt>
                  <c:pt idx="5">
                    <c:v>2.61</c:v>
                  </c:pt>
                  <c:pt idx="6">
                    <c:v>16.61</c:v>
                  </c:pt>
                  <c:pt idx="7">
                    <c:v>0</c:v>
                  </c:pt>
                  <c:pt idx="8">
                    <c:v>1.79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cascade!$D$21:$F$29</c:f>
              <c:multiLvlStrCache>
                <c:ptCount val="9"/>
                <c:lvl>
                  <c:pt idx="0">
                    <c:v>StroRedAm</c:v>
                  </c:pt>
                  <c:pt idx="1">
                    <c:v>PauRedAm</c:v>
                  </c:pt>
                  <c:pt idx="2">
                    <c:v>StroRedAm</c:v>
                  </c:pt>
                  <c:pt idx="3">
                    <c:v>PauRedAm</c:v>
                  </c:pt>
                  <c:pt idx="4">
                    <c:v>StroRedAm</c:v>
                  </c:pt>
                  <c:pt idx="5">
                    <c:v>StroRedAm</c:v>
                  </c:pt>
                  <c:pt idx="6">
                    <c:v>PauRedAm</c:v>
                  </c:pt>
                  <c:pt idx="7">
                    <c:v>StroRedAm</c:v>
                  </c:pt>
                  <c:pt idx="8">
                    <c:v>PauRedAm</c:v>
                  </c:pt>
                </c:lvl>
                <c:lvl>
                  <c:pt idx="0">
                    <c:v>PETNR</c:v>
                  </c:pt>
                  <c:pt idx="1">
                    <c:v>PETNR</c:v>
                  </c:pt>
                  <c:pt idx="2">
                    <c:v>PETNR</c:v>
                  </c:pt>
                  <c:pt idx="3">
                    <c:v>PETNR</c:v>
                  </c:pt>
                  <c:pt idx="4">
                    <c:v>C25D/I67T-TsOYE</c:v>
                  </c:pt>
                  <c:pt idx="5">
                    <c:v>C25D/I67T-TsOYE</c:v>
                  </c:pt>
                  <c:pt idx="6">
                    <c:v>C25D/I67T-TsOYE</c:v>
                  </c:pt>
                  <c:pt idx="7">
                    <c:v>OYE2</c:v>
                  </c:pt>
                  <c:pt idx="8">
                    <c:v>OYE2</c:v>
                  </c:pt>
                </c:lvl>
                <c:lvl>
                  <c:pt idx="0">
                    <c:v>(2R)-10c</c:v>
                  </c:pt>
                  <c:pt idx="1">
                    <c:v>(2R)-10c</c:v>
                  </c:pt>
                  <c:pt idx="2">
                    <c:v>(2R)-10d</c:v>
                  </c:pt>
                  <c:pt idx="3">
                    <c:v>(2R)-10d</c:v>
                  </c:pt>
                  <c:pt idx="4">
                    <c:v>(3R)-11c</c:v>
                  </c:pt>
                  <c:pt idx="5">
                    <c:v>(3R)-11d</c:v>
                  </c:pt>
                  <c:pt idx="6">
                    <c:v>(3R)-11d</c:v>
                  </c:pt>
                  <c:pt idx="7">
                    <c:v>(3S)-11d</c:v>
                  </c:pt>
                  <c:pt idx="8">
                    <c:v>(3S)-11d</c:v>
                  </c:pt>
                </c:lvl>
              </c:multiLvlStrCache>
            </c:multiLvlStrRef>
          </c:cat>
          <c:val>
            <c:numRef>
              <c:f>cascade!$G$21:$G$29</c:f>
              <c:numCache>
                <c:formatCode>General</c:formatCode>
                <c:ptCount val="9"/>
                <c:pt idx="0">
                  <c:v>3</c:v>
                </c:pt>
                <c:pt idx="1">
                  <c:v>32</c:v>
                </c:pt>
                <c:pt idx="2">
                  <c:v>4</c:v>
                </c:pt>
                <c:pt idx="3">
                  <c:v>28</c:v>
                </c:pt>
                <c:pt idx="4">
                  <c:v>18</c:v>
                </c:pt>
                <c:pt idx="5">
                  <c:v>56</c:v>
                </c:pt>
                <c:pt idx="6">
                  <c:v>43</c:v>
                </c:pt>
                <c:pt idx="8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22-4DE1-8457-FF88262C6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96904736"/>
        <c:axId val="896903296"/>
      </c:barChart>
      <c:scatterChart>
        <c:scatterStyle val="lineMarker"/>
        <c:varyColors val="0"/>
        <c:ser>
          <c:idx val="1"/>
          <c:order val="1"/>
          <c:tx>
            <c:v>de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cascade!$M$21:$M$29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1.66</c:v>
                  </c:pt>
                  <c:pt idx="5">
                    <c:v>0</c:v>
                  </c:pt>
                  <c:pt idx="6">
                    <c:v>1.37</c:v>
                  </c:pt>
                  <c:pt idx="7">
                    <c:v>0</c:v>
                  </c:pt>
                  <c:pt idx="8">
                    <c:v>4.0999999999999996</c:v>
                  </c:pt>
                </c:numCache>
              </c:numRef>
            </c:plus>
            <c:minus>
              <c:numRef>
                <c:f>cascade!$M$21:$M$29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1.66</c:v>
                  </c:pt>
                  <c:pt idx="5">
                    <c:v>0</c:v>
                  </c:pt>
                  <c:pt idx="6">
                    <c:v>1.37</c:v>
                  </c:pt>
                  <c:pt idx="7">
                    <c:v>0</c:v>
                  </c:pt>
                  <c:pt idx="8">
                    <c:v>4.0999999999999996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cascade!$J$21:$J$29</c:f>
              <c:numCache>
                <c:formatCode>General</c:formatCode>
                <c:ptCount val="9"/>
                <c:pt idx="1">
                  <c:v>99</c:v>
                </c:pt>
                <c:pt idx="3">
                  <c:v>99</c:v>
                </c:pt>
                <c:pt idx="4">
                  <c:v>61</c:v>
                </c:pt>
                <c:pt idx="5">
                  <c:v>99</c:v>
                </c:pt>
                <c:pt idx="6">
                  <c:v>76</c:v>
                </c:pt>
                <c:pt idx="8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2-4DE1-8457-FF88262C6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235088"/>
        <c:axId val="1004233648"/>
      </c:scatterChart>
      <c:catAx>
        <c:axId val="89690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896903296"/>
        <c:crosses val="autoZero"/>
        <c:auto val="1"/>
        <c:lblAlgn val="ctr"/>
        <c:lblOffset val="100"/>
        <c:noMultiLvlLbl val="0"/>
      </c:catAx>
      <c:valAx>
        <c:axId val="89690329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en-US" b="1"/>
                  <a:t>Amine formation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896904736"/>
        <c:crosses val="autoZero"/>
        <c:crossBetween val="between"/>
      </c:valAx>
      <c:valAx>
        <c:axId val="1004233648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de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04235088"/>
        <c:crosses val="max"/>
        <c:crossBetween val="midCat"/>
      </c:valAx>
      <c:valAx>
        <c:axId val="10042350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042336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Calibri" panose="020F0502020204030204" pitchFamily="34" charset="0"/>
          <a:ea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152400</xdr:colOff>
      <xdr:row>28</xdr:row>
      <xdr:rowOff>125730</xdr:rowOff>
    </xdr:from>
    <xdr:to>
      <xdr:col>38</xdr:col>
      <xdr:colOff>419100</xdr:colOff>
      <xdr:row>48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302560</xdr:colOff>
      <xdr:row>23</xdr:row>
      <xdr:rowOff>11205</xdr:rowOff>
    </xdr:from>
    <xdr:to>
      <xdr:col>65</xdr:col>
      <xdr:colOff>347383</xdr:colOff>
      <xdr:row>37</xdr:row>
      <xdr:rowOff>62751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50</xdr:col>
      <xdr:colOff>414618</xdr:colOff>
      <xdr:row>37</xdr:row>
      <xdr:rowOff>168088</xdr:rowOff>
    </xdr:from>
    <xdr:to>
      <xdr:col>65</xdr:col>
      <xdr:colOff>459441</xdr:colOff>
      <xdr:row>52</xdr:row>
      <xdr:rowOff>62753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157348</xdr:colOff>
          <xdr:row>30</xdr:row>
          <xdr:rowOff>44533</xdr:rowOff>
        </xdr:from>
        <xdr:to>
          <xdr:col>37</xdr:col>
          <xdr:colOff>412964</xdr:colOff>
          <xdr:row>35</xdr:row>
          <xdr:rowOff>72835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71B75E20-7B76-A339-D6C9-3E9839AEA2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0.51259</cdr:x>
      <cdr:y>0.3568</cdr:y>
    </cdr:from>
    <cdr:to>
      <cdr:x>0.51259</cdr:x>
      <cdr:y>0.85312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76F6471-1D34-0A76-33CB-B8F1D3916D15}"/>
            </a:ext>
          </a:extLst>
        </cdr:cNvPr>
        <cdr:cNvCxnSpPr/>
      </cdr:nvCxnSpPr>
      <cdr:spPr>
        <a:xfrm xmlns:a="http://schemas.openxmlformats.org/drawingml/2006/main">
          <a:off x="1762991" y="1225088"/>
          <a:ext cx="0" cy="1704109"/>
        </a:xfrm>
        <a:prstGeom xmlns:a="http://schemas.openxmlformats.org/drawingml/2006/main" prst="line">
          <a:avLst/>
        </a:prstGeom>
        <a:ln xmlns:a="http://schemas.openxmlformats.org/drawingml/2006/main" w="9525"/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27831</xdr:colOff>
      <xdr:row>30</xdr:row>
      <xdr:rowOff>164095</xdr:rowOff>
    </xdr:from>
    <xdr:to>
      <xdr:col>12</xdr:col>
      <xdr:colOff>92601</xdr:colOff>
      <xdr:row>52</xdr:row>
      <xdr:rowOff>12510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FA7F26-C7FD-46F7-9662-2CCE472F0CE8}" name="Table4" displayName="Table4" ref="AM5:AU17" totalsRowShown="0" headerRowDxfId="50" dataDxfId="48" headerRowBorderDxfId="49">
  <autoFilter ref="AM5:AU17" xr:uid="{78FA7F26-C7FD-46F7-9662-2CCE472F0CE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53146224-906F-4488-A857-398015097AA6}" name="Product" dataDxfId="47"/>
    <tableColumn id="2" xr3:uid="{18A2382A-A881-4975-A7FA-03E6ABFDC0AA}" name="Enzyme" dataDxfId="46"/>
    <tableColumn id="3" xr3:uid="{5CDDF468-8257-4781-B8E6-67F58099F735}" name="Conv. (%)" dataDxfId="45"/>
    <tableColumn id="4" xr3:uid="{3FBAEF49-9D2D-46B8-B7B3-176D8A909CC4}" name="ee(1R) (%)" dataDxfId="44"/>
    <tableColumn id="5" xr3:uid="{90F1CC12-A8BD-41F3-A690-60B1DA0A4ECE}" name="ee(2R/3R) (%)" dataDxfId="43"/>
    <tableColumn id="6" xr3:uid="{7AF615DC-BD99-46E4-ACA9-660A4DABE7B3}" name="de (%)" dataDxfId="42"/>
    <tableColumn id="7" xr3:uid="{C0AB41B1-0931-471C-88A5-1B6E8353723C}" name="e.r. (1R:1S)" dataDxfId="2">
      <calculatedColumnFormula>AA15</calculatedColumnFormula>
    </tableColumn>
    <tableColumn id="8" xr3:uid="{63BDF358-9617-4819-859F-6938378EB9B2}" name="e.r. (2R/3R : 2S/3S" dataDxfId="1">
      <calculatedColumnFormula>AC8</calculatedColumnFormula>
    </tableColumn>
    <tableColumn id="9" xr3:uid="{F1414394-6A72-49D8-87B2-11D3A7AE3BAE}" name="d.r. (cis : trans)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392775-4E14-443C-9C7C-337505E73741}" name="Table7" displayName="Table7" ref="AM22:AR26" totalsRowShown="0" headerRowDxfId="41" dataDxfId="39" headerRowBorderDxfId="40">
  <autoFilter ref="AM22:AR26" xr:uid="{5F392775-4E14-443C-9C7C-337505E7374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2" xr3:uid="{10CF4D58-039A-48E7-8711-24B700377835}" name="Product" dataDxfId="38"/>
    <tableColumn id="3" xr3:uid="{EBF9AF98-7531-47A2-A54E-BDAF702C8163}" name="Enzyme" dataDxfId="37"/>
    <tableColumn id="4" xr3:uid="{6E9228B8-3098-4E8E-9360-76B63FADE9DC}" name="Conv. (%)" dataDxfId="36"/>
    <tableColumn id="5" xr3:uid="{494EF0D5-F414-482F-8917-67A67061D071}" name="ee1 (%)" dataDxfId="35"/>
    <tableColumn id="6" xr3:uid="{FD3BCE90-0C3F-47DB-8A44-ACD29EA8052C}" name="ee2 (%)" dataDxfId="34"/>
    <tableColumn id="7" xr3:uid="{B6556592-D703-4EED-BD19-35B4E1817AFC}" name="de (%)" dataDxfId="33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19B1CF-7B2D-4511-B4AA-3D04DEAF766C}" name="Table1" displayName="Table1" ref="AF5:AJ11" totalsRowShown="0" headerRowDxfId="32" dataDxfId="31">
  <autoFilter ref="AF5:AJ11" xr:uid="{C819B1CF-7B2D-4511-B4AA-3D04DEAF766C}"/>
  <tableColumns count="5">
    <tableColumn id="1" xr3:uid="{786FBEC9-52FB-409A-9A94-36DE34D3713E}" name="Product" dataDxfId="30"/>
    <tableColumn id="2" xr3:uid="{DEC379CB-844C-429F-93B2-EC1C1D4FB742}" name="Conv. (%)" dataDxfId="29"/>
    <tableColumn id="3" xr3:uid="{F29AAE4B-B60A-486A-887A-C142C8770F47}" name="ee1 (%)" dataDxfId="28"/>
    <tableColumn id="4" xr3:uid="{7494EDAE-908A-49C6-AC92-142DD81FE001}" name="ee2 (%)" dataDxfId="27"/>
    <tableColumn id="5" xr3:uid="{A7400E1D-969A-4EA7-8AA8-88CC836BDF0F}" name="de (%)" dataDxfId="2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27986F-2733-4898-B67D-4AE753059A7E}" name="Table2" displayName="Table2" ref="AF13:AJ19" totalsRowShown="0" headerRowDxfId="25" dataDxfId="24">
  <autoFilter ref="AF13:AJ19" xr:uid="{6727986F-2733-4898-B67D-4AE753059A7E}"/>
  <tableColumns count="5">
    <tableColumn id="1" xr3:uid="{571777C2-B6A6-4E32-B7E3-A5D77E4E3017}" name="Product" dataDxfId="23"/>
    <tableColumn id="2" xr3:uid="{9EFA4B75-4DD1-46DE-A0CC-BDF6B3C9A8AE}" name="Conv. (%)" dataDxfId="22"/>
    <tableColumn id="3" xr3:uid="{C88284BA-4A1C-4597-A0E6-316A42145AE5}" name="ee1 (%)" dataDxfId="21"/>
    <tableColumn id="4" xr3:uid="{C176CDEB-A271-4D83-99E4-99FD16BF045D}" name="ee2 (%)" dataDxfId="20"/>
    <tableColumn id="5" xr3:uid="{F1D5E08B-190E-4304-81FC-17EDA0C5FBE3}" name="de (%)" dataDxfId="19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24E05B-B14D-470E-98B2-CBAD4C94FB86}" name="Table3" displayName="Table3" ref="AF21:AJ27" totalsRowShown="0" headerRowDxfId="18" dataDxfId="17">
  <autoFilter ref="AF21:AJ27" xr:uid="{1124E05B-B14D-470E-98B2-CBAD4C94FB86}"/>
  <tableColumns count="5">
    <tableColumn id="1" xr3:uid="{183F7A79-19CB-4F41-8E11-2C4EC85D960C}" name="Product" dataDxfId="16"/>
    <tableColumn id="2" xr3:uid="{CD792DF9-D700-45B4-9B47-FD233FA5152D}" name="Conv. (%)" dataDxfId="15"/>
    <tableColumn id="3" xr3:uid="{3A1E5359-00F9-44A8-95F3-A7382A1D13C9}" name="ee1 (%)" dataDxfId="14"/>
    <tableColumn id="4" xr3:uid="{0D0FB343-8FBE-432E-8BD4-7E6C7E4B8732}" name="ee2 (%)" dataDxfId="13"/>
    <tableColumn id="5" xr3:uid="{5FAD5127-1D30-4823-8C7C-4B4012983520}" name="de (%)" dataDxfId="12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F20DA1D-26A0-41F0-A0E6-3455E35AD5EF}" name="Table8" displayName="Table8" ref="D20:J29" totalsRowShown="0" headerRowDxfId="11" dataDxfId="10">
  <autoFilter ref="D20:J29" xr:uid="{6F20DA1D-26A0-41F0-A0E6-3455E35AD5E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sortState xmlns:xlrd2="http://schemas.microsoft.com/office/spreadsheetml/2017/richdata2" ref="D21:J29">
    <sortCondition ref="D22:D29"/>
  </sortState>
  <tableColumns count="7">
    <tableColumn id="1" xr3:uid="{3780352F-9806-478A-96C5-C44C5333E7F3}" name="Expected product" dataDxfId="9"/>
    <tableColumn id="4" xr3:uid="{3738D1B1-6D00-4F82-84C7-CCAB355AC443}" name="OYE" dataDxfId="8"/>
    <tableColumn id="5" xr3:uid="{A8138BA2-5B68-4C2F-9C79-52ABCEC4373F}" name="RedAm" dataDxfId="7"/>
    <tableColumn id="6" xr3:uid="{650E3171-255E-4807-A580-A062ACDD8AF9}" name="Conv. (%)" dataDxfId="6"/>
    <tableColumn id="7" xr3:uid="{07A4F364-DB34-4801-B8D9-ACDE2A4AB825}" name="ee1 (%)" dataDxfId="5"/>
    <tableColumn id="8" xr3:uid="{EF2F4553-828B-49F6-BB93-EFDA4D9771F0}" name="ee2 (%)" dataDxfId="4"/>
    <tableColumn id="9" xr3:uid="{4293F702-E629-46BD-8BD7-0BC8BBBBFFA4}" name="de (%)" dataDxfId="3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image" Target="../media/image1.emf"/><Relationship Id="rId10" Type="http://schemas.openxmlformats.org/officeDocument/2006/relationships/table" Target="../tables/table5.xml"/><Relationship Id="rId4" Type="http://schemas.openxmlformats.org/officeDocument/2006/relationships/oleObject" Target="../embeddings/oleObject1.bin"/><Relationship Id="rId9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BF63B-0C64-4AF3-B045-186BD52DF604}">
  <dimension ref="A2:BD82"/>
  <sheetViews>
    <sheetView tabSelected="1" topLeftCell="AK1" zoomScale="160" zoomScaleNormal="160" workbookViewId="0">
      <selection activeCell="AU16" sqref="AU16"/>
    </sheetView>
  </sheetViews>
  <sheetFormatPr defaultColWidth="8.88671875" defaultRowHeight="14.4" x14ac:dyDescent="0.3"/>
  <cols>
    <col min="1" max="5" width="8.88671875" style="3"/>
    <col min="6" max="6" width="23.33203125" style="3" bestFit="1" customWidth="1"/>
    <col min="7" max="11" width="8.88671875" style="3"/>
    <col min="12" max="12" width="7.6640625" style="3" bestFit="1" customWidth="1"/>
    <col min="13" max="13" width="11" style="3" bestFit="1" customWidth="1"/>
    <col min="14" max="19" width="9" style="3" bestFit="1" customWidth="1"/>
    <col min="20" max="20" width="8.88671875" style="3" bestFit="1" customWidth="1"/>
    <col min="21" max="22" width="9" style="3" bestFit="1" customWidth="1"/>
    <col min="23" max="23" width="8.33203125" style="3" bestFit="1" customWidth="1"/>
    <col min="24" max="24" width="3.5546875" style="3" bestFit="1" customWidth="1"/>
    <col min="25" max="27" width="8.88671875" style="52"/>
    <col min="29" max="29" width="8.88671875" style="52"/>
    <col min="30" max="30" width="11.44140625" style="3" bestFit="1" customWidth="1"/>
    <col min="31" max="31" width="8.88671875" style="3"/>
    <col min="32" max="32" width="9.5546875" style="3" customWidth="1"/>
    <col min="33" max="33" width="11" style="3" customWidth="1"/>
    <col min="34" max="35" width="9.6640625" style="3" customWidth="1"/>
    <col min="36" max="38" width="8.88671875" style="3"/>
    <col min="39" max="39" width="9.109375" style="3" bestFit="1" customWidth="1"/>
    <col min="40" max="40" width="12.6640625" style="3" bestFit="1" customWidth="1"/>
    <col min="41" max="41" width="7.33203125" style="3" bestFit="1" customWidth="1"/>
    <col min="42" max="42" width="8.21875" style="3" bestFit="1" customWidth="1"/>
    <col min="43" max="43" width="11" style="3" bestFit="1" customWidth="1"/>
    <col min="44" max="44" width="6.109375" style="3" bestFit="1" customWidth="1"/>
    <col min="45" max="45" width="8.21875" style="3" bestFit="1" customWidth="1"/>
    <col min="46" max="46" width="14.21875" style="3" bestFit="1" customWidth="1"/>
    <col min="47" max="47" width="10.88671875" style="3" bestFit="1" customWidth="1"/>
    <col min="48" max="48" width="6.109375" style="3" customWidth="1"/>
    <col min="49" max="49" width="9" style="3" customWidth="1"/>
    <col min="50" max="50" width="4.5546875" style="3" bestFit="1" customWidth="1"/>
    <col min="51" max="51" width="12.6640625" style="3" bestFit="1" customWidth="1"/>
    <col min="52" max="16384" width="8.88671875" style="3"/>
  </cols>
  <sheetData>
    <row r="2" spans="1:56" x14ac:dyDescent="0.3">
      <c r="R2" s="3" t="s">
        <v>113</v>
      </c>
      <c r="T2" s="3" t="s">
        <v>113</v>
      </c>
      <c r="Z2" s="52" t="s">
        <v>127</v>
      </c>
      <c r="AB2" t="s">
        <v>128</v>
      </c>
    </row>
    <row r="3" spans="1:56" x14ac:dyDescent="0.3">
      <c r="R3" s="3" t="s">
        <v>101</v>
      </c>
      <c r="T3" s="3" t="s">
        <v>102</v>
      </c>
      <c r="X3" s="3" t="s">
        <v>91</v>
      </c>
      <c r="Z3" s="52" t="s">
        <v>117</v>
      </c>
      <c r="AP3" s="3" t="s">
        <v>99</v>
      </c>
      <c r="AQ3" s="3" t="s">
        <v>100</v>
      </c>
    </row>
    <row r="5" spans="1:56" x14ac:dyDescent="0.3">
      <c r="K5" s="51">
        <v>1</v>
      </c>
      <c r="L5" s="5"/>
      <c r="M5" s="5"/>
      <c r="N5" s="3" t="s">
        <v>82</v>
      </c>
      <c r="O5" s="3" t="s">
        <v>83</v>
      </c>
      <c r="P5" s="3" t="s">
        <v>84</v>
      </c>
      <c r="Q5" s="3" t="s">
        <v>85</v>
      </c>
      <c r="R5" s="5"/>
      <c r="S5" s="5"/>
      <c r="T5" s="5"/>
      <c r="U5" s="5"/>
      <c r="V5" s="5"/>
      <c r="W5" s="6"/>
      <c r="AD5" s="3" t="s">
        <v>50</v>
      </c>
      <c r="AF5" s="7" t="s">
        <v>32</v>
      </c>
      <c r="AG5" s="7" t="s">
        <v>34</v>
      </c>
      <c r="AH5" s="8" t="s">
        <v>35</v>
      </c>
      <c r="AI5" s="8" t="s">
        <v>36</v>
      </c>
      <c r="AJ5" s="8" t="s">
        <v>37</v>
      </c>
      <c r="AM5" s="29" t="s">
        <v>32</v>
      </c>
      <c r="AN5" s="29" t="s">
        <v>33</v>
      </c>
      <c r="AO5" s="29" t="s">
        <v>34</v>
      </c>
      <c r="AP5" s="29" t="s">
        <v>120</v>
      </c>
      <c r="AQ5" s="29" t="s">
        <v>121</v>
      </c>
      <c r="AR5" s="29" t="s">
        <v>60</v>
      </c>
      <c r="AS5" s="29" t="s">
        <v>122</v>
      </c>
      <c r="AT5" s="29" t="s">
        <v>126</v>
      </c>
      <c r="AU5" s="29" t="s">
        <v>119</v>
      </c>
      <c r="AV5" s="25"/>
      <c r="AW5" s="25"/>
      <c r="AZ5" s="3" t="s">
        <v>33</v>
      </c>
      <c r="BA5" s="3" t="s">
        <v>35</v>
      </c>
      <c r="BB5" s="3" t="s">
        <v>36</v>
      </c>
      <c r="BC5" s="3" t="s">
        <v>37</v>
      </c>
      <c r="BD5" s="3" t="s">
        <v>34</v>
      </c>
    </row>
    <row r="6" spans="1:56" ht="12" x14ac:dyDescent="0.25">
      <c r="E6" s="3" t="s">
        <v>7</v>
      </c>
      <c r="F6" s="3" t="s">
        <v>1</v>
      </c>
      <c r="G6" s="3" t="s">
        <v>2</v>
      </c>
      <c r="K6" s="9"/>
      <c r="N6" s="3" t="s">
        <v>12</v>
      </c>
      <c r="O6" s="3" t="s">
        <v>13</v>
      </c>
      <c r="P6" s="3" t="s">
        <v>14</v>
      </c>
      <c r="Q6" s="3" t="s">
        <v>15</v>
      </c>
      <c r="R6" s="3" t="s">
        <v>23</v>
      </c>
      <c r="S6" s="3" t="s">
        <v>25</v>
      </c>
      <c r="T6" s="3" t="s">
        <v>24</v>
      </c>
      <c r="U6" s="3" t="s">
        <v>25</v>
      </c>
      <c r="V6" s="3" t="s">
        <v>18</v>
      </c>
      <c r="W6" s="10" t="s">
        <v>25</v>
      </c>
      <c r="X6" s="3" t="s">
        <v>103</v>
      </c>
      <c r="Y6" s="52" t="s">
        <v>103</v>
      </c>
      <c r="Z6" s="52" t="s">
        <v>114</v>
      </c>
      <c r="AA6" s="52" t="s">
        <v>114</v>
      </c>
      <c r="AB6" s="52" t="s">
        <v>114</v>
      </c>
      <c r="AC6" s="52" t="s">
        <v>114</v>
      </c>
      <c r="AF6" s="11" t="s">
        <v>38</v>
      </c>
      <c r="AG6" s="7">
        <v>85</v>
      </c>
      <c r="AH6" s="7" t="s">
        <v>53</v>
      </c>
      <c r="AI6" s="7" t="s">
        <v>53</v>
      </c>
      <c r="AJ6" s="12">
        <f>W7</f>
        <v>3.94557260362207</v>
      </c>
      <c r="AM6" s="25" t="s">
        <v>38</v>
      </c>
      <c r="AN6" s="26" t="s">
        <v>61</v>
      </c>
      <c r="AO6" s="27">
        <f>Table1[[#This Row],[Conv. (%)]]</f>
        <v>85</v>
      </c>
      <c r="AP6" s="27" t="s">
        <v>53</v>
      </c>
      <c r="AQ6" s="27">
        <f>U7</f>
        <v>3.94557260362207</v>
      </c>
      <c r="AR6" s="27">
        <f>Table1[[#This Row],[de (%)]]</f>
        <v>3.94557260362207</v>
      </c>
      <c r="AS6" s="27" t="s">
        <v>124</v>
      </c>
      <c r="AT6" s="27" t="str">
        <f>AC7</f>
        <v>52:48</v>
      </c>
      <c r="AU6" s="27" t="str">
        <f>Y7</f>
        <v>48:52</v>
      </c>
      <c r="AV6" s="27"/>
      <c r="AX6" s="13" t="s">
        <v>45</v>
      </c>
      <c r="AY6" s="26" t="s">
        <v>61</v>
      </c>
    </row>
    <row r="7" spans="1:56" ht="12" x14ac:dyDescent="0.25">
      <c r="B7" s="13" t="s">
        <v>38</v>
      </c>
      <c r="E7" s="3">
        <v>1</v>
      </c>
      <c r="F7" s="3" t="s">
        <v>0</v>
      </c>
      <c r="G7" s="3" t="s">
        <v>3</v>
      </c>
      <c r="K7" s="9"/>
      <c r="L7" s="3" t="s">
        <v>8</v>
      </c>
      <c r="M7" s="3" t="s">
        <v>9</v>
      </c>
      <c r="N7" s="3">
        <v>1683</v>
      </c>
      <c r="O7" s="3">
        <v>0</v>
      </c>
      <c r="P7" s="3">
        <v>1871</v>
      </c>
      <c r="Q7" s="3">
        <v>0</v>
      </c>
      <c r="R7" s="3">
        <f>(N7+P7-O7-Q7)/(N7+O7+P7+Q7)*100</f>
        <v>100</v>
      </c>
      <c r="S7" s="3">
        <f>AVERAGE(R7:R8)</f>
        <v>100</v>
      </c>
      <c r="T7" s="20">
        <f>(P7+O7-N7-Q7)/(N7+O7+P7+Q7)*100</f>
        <v>5.2898142937535173</v>
      </c>
      <c r="U7" s="3">
        <f>AVERAGE(T7:T8)</f>
        <v>3.94557260362207</v>
      </c>
      <c r="V7" s="14">
        <f t="shared" ref="V7:V12" si="0">ABS((N7+O7-P7-Q7)/(N7+O7+P7+Q7)*100)</f>
        <v>5.2898142937535173</v>
      </c>
      <c r="W7" s="15">
        <f>AVERAGE(V7,V8)</f>
        <v>3.94557260362207</v>
      </c>
      <c r="X7" s="20">
        <f>50-W7/2</f>
        <v>48.027213698188966</v>
      </c>
      <c r="Y7" s="52" t="s">
        <v>107</v>
      </c>
      <c r="Z7" s="20">
        <f>50-R7/2</f>
        <v>0</v>
      </c>
      <c r="AA7" s="52" t="s">
        <v>115</v>
      </c>
      <c r="AB7" s="20">
        <f>50-U7/2</f>
        <v>48.027213698188966</v>
      </c>
      <c r="AC7" s="52" t="s">
        <v>130</v>
      </c>
      <c r="AF7" s="11" t="s">
        <v>39</v>
      </c>
      <c r="AG7" s="7" t="s">
        <v>53</v>
      </c>
      <c r="AH7" s="7" t="s">
        <v>53</v>
      </c>
      <c r="AI7" s="7" t="s">
        <v>53</v>
      </c>
      <c r="AJ7" s="12">
        <f>W17</f>
        <v>3.3129867567534768</v>
      </c>
      <c r="AM7" s="26"/>
      <c r="AN7" s="26" t="s">
        <v>55</v>
      </c>
      <c r="AO7" s="27" t="str">
        <f>AG14</f>
        <v>&gt;99</v>
      </c>
      <c r="AP7" s="27" t="s">
        <v>53</v>
      </c>
      <c r="AQ7" s="27">
        <f>U9</f>
        <v>5.1734382080076848</v>
      </c>
      <c r="AR7" s="27">
        <f>AJ14</f>
        <v>5.1734382080076848</v>
      </c>
      <c r="AS7" s="27" t="s">
        <v>124</v>
      </c>
      <c r="AT7" s="27" t="str">
        <f>AC9</f>
        <v>53:47</v>
      </c>
      <c r="AU7" s="27" t="str">
        <f>Y9</f>
        <v>47:53</v>
      </c>
      <c r="AV7" s="27"/>
      <c r="AX7" s="13" t="s">
        <v>45</v>
      </c>
      <c r="AY7" s="26" t="s">
        <v>55</v>
      </c>
      <c r="AZ7" s="3">
        <v>89</v>
      </c>
      <c r="BC7" s="3">
        <v>58</v>
      </c>
    </row>
    <row r="8" spans="1:56" ht="12" x14ac:dyDescent="0.25">
      <c r="B8" s="13" t="s">
        <v>39</v>
      </c>
      <c r="E8" s="3">
        <v>2</v>
      </c>
      <c r="F8" s="3" t="s">
        <v>0</v>
      </c>
      <c r="G8" s="3" t="s">
        <v>4</v>
      </c>
      <c r="K8" s="9"/>
      <c r="N8" s="3">
        <v>9660</v>
      </c>
      <c r="O8" s="3">
        <v>0</v>
      </c>
      <c r="P8" s="3">
        <v>10176</v>
      </c>
      <c r="Q8" s="3">
        <v>0</v>
      </c>
      <c r="R8" s="3">
        <f t="shared" ref="R8:R12" si="1">(N8+P8-O8-Q8)/(N8+O8+P8+Q8)*100</f>
        <v>100</v>
      </c>
      <c r="T8" s="20">
        <f t="shared" ref="T8:T12" si="2">(P8+O8-N8-Q8)/(N8+O8+P8+Q8)*100</f>
        <v>2.6013309134906231</v>
      </c>
      <c r="V8" s="14">
        <f t="shared" si="0"/>
        <v>2.6013309134906231</v>
      </c>
      <c r="W8" s="15"/>
      <c r="X8" s="20"/>
      <c r="AB8" s="52"/>
      <c r="AF8" s="11" t="s">
        <v>40</v>
      </c>
      <c r="AG8" s="7" t="s">
        <v>53</v>
      </c>
      <c r="AH8" s="12" t="s">
        <v>48</v>
      </c>
      <c r="AI8" s="12">
        <f>U27</f>
        <v>2.1044834175528955</v>
      </c>
      <c r="AJ8" s="7" t="s">
        <v>53</v>
      </c>
      <c r="AM8" s="24"/>
      <c r="AN8" s="24" t="s">
        <v>56</v>
      </c>
      <c r="AO8" s="28">
        <f>AG22</f>
        <v>30</v>
      </c>
      <c r="AP8" s="28" t="s">
        <v>53</v>
      </c>
      <c r="AQ8" s="28">
        <f>U11</f>
        <v>38.414383257467975</v>
      </c>
      <c r="AR8" s="28">
        <f>AJ22</f>
        <v>38.414383257467975</v>
      </c>
      <c r="AS8" s="27" t="s">
        <v>124</v>
      </c>
      <c r="AT8" s="28" t="str">
        <f>AC11</f>
        <v>69:31</v>
      </c>
      <c r="AU8" s="28" t="str">
        <f>Y11</f>
        <v>31:69</v>
      </c>
      <c r="AV8" s="27"/>
      <c r="AX8" s="13" t="s">
        <v>45</v>
      </c>
      <c r="AY8" s="24" t="s">
        <v>56</v>
      </c>
    </row>
    <row r="9" spans="1:56" ht="12" x14ac:dyDescent="0.25">
      <c r="B9" s="13" t="s">
        <v>40</v>
      </c>
      <c r="E9" s="3">
        <v>3</v>
      </c>
      <c r="F9" s="3" t="s">
        <v>5</v>
      </c>
      <c r="G9" s="3" t="s">
        <v>3</v>
      </c>
      <c r="K9" s="9"/>
      <c r="L9" s="3" t="s">
        <v>10</v>
      </c>
      <c r="M9" s="3" t="s">
        <v>11</v>
      </c>
      <c r="N9" s="3">
        <v>10694</v>
      </c>
      <c r="O9" s="3">
        <v>0</v>
      </c>
      <c r="P9" s="3">
        <v>12160</v>
      </c>
      <c r="Q9" s="3">
        <v>0</v>
      </c>
      <c r="R9" s="3">
        <f t="shared" si="1"/>
        <v>100</v>
      </c>
      <c r="S9" s="3">
        <f t="shared" ref="S9:U11" si="3">AVERAGE(R9:R10)</f>
        <v>100</v>
      </c>
      <c r="T9" s="20">
        <f t="shared" si="2"/>
        <v>6.4146320119016362</v>
      </c>
      <c r="U9" s="3">
        <f t="shared" si="3"/>
        <v>5.1734382080076848</v>
      </c>
      <c r="V9" s="14">
        <f t="shared" si="0"/>
        <v>6.4146320119016362</v>
      </c>
      <c r="W9" s="15">
        <f>AVERAGE(V9,V10)</f>
        <v>5.1734382080076848</v>
      </c>
      <c r="X9" s="20">
        <f>50-W9/2</f>
        <v>47.413280895996159</v>
      </c>
      <c r="Y9" s="52" t="s">
        <v>105</v>
      </c>
      <c r="Z9" s="20">
        <f>50-R9/2</f>
        <v>0</v>
      </c>
      <c r="AA9" s="52" t="s">
        <v>115</v>
      </c>
      <c r="AB9" s="20">
        <f>50-U9/2</f>
        <v>47.413280895996159</v>
      </c>
      <c r="AC9" s="52" t="s">
        <v>129</v>
      </c>
      <c r="AF9" s="11" t="s">
        <v>41</v>
      </c>
      <c r="AG9" s="7" t="s">
        <v>53</v>
      </c>
      <c r="AH9" s="12" t="s">
        <v>53</v>
      </c>
      <c r="AI9" s="7" t="s">
        <v>53</v>
      </c>
      <c r="AJ9" s="12">
        <f>W47</f>
        <v>100</v>
      </c>
      <c r="AM9" s="25" t="s">
        <v>39</v>
      </c>
      <c r="AN9" s="26" t="s">
        <v>61</v>
      </c>
      <c r="AO9" s="27" t="str">
        <f>AG7</f>
        <v>&gt;99</v>
      </c>
      <c r="AP9" s="27" t="s">
        <v>53</v>
      </c>
      <c r="AQ9" s="27">
        <f>U17</f>
        <v>3.3129867567534768</v>
      </c>
      <c r="AR9" s="27">
        <f>AJ7</f>
        <v>3.3129867567534768</v>
      </c>
      <c r="AS9" s="27" t="s">
        <v>124</v>
      </c>
      <c r="AT9" s="27" t="str">
        <f>AC17</f>
        <v>52:48</v>
      </c>
      <c r="AU9" s="27" t="str">
        <f>Y17</f>
        <v>48:52</v>
      </c>
      <c r="AV9" s="27"/>
      <c r="AX9" s="25" t="s">
        <v>38</v>
      </c>
      <c r="AY9" s="26" t="s">
        <v>61</v>
      </c>
      <c r="AZ9" s="20">
        <v>99</v>
      </c>
      <c r="BA9" s="20">
        <v>99</v>
      </c>
      <c r="BB9" s="20">
        <v>3.94557260362207</v>
      </c>
      <c r="BC9" s="20">
        <v>85</v>
      </c>
    </row>
    <row r="10" spans="1:56" ht="12" x14ac:dyDescent="0.25">
      <c r="B10" s="13" t="s">
        <v>41</v>
      </c>
      <c r="E10" s="3">
        <v>4</v>
      </c>
      <c r="F10" s="3" t="s">
        <v>5</v>
      </c>
      <c r="G10" s="3" t="s">
        <v>4</v>
      </c>
      <c r="K10" s="9"/>
      <c r="N10" s="3">
        <v>3970</v>
      </c>
      <c r="O10" s="3">
        <v>0</v>
      </c>
      <c r="P10" s="3">
        <v>4295</v>
      </c>
      <c r="Q10" s="3">
        <v>0</v>
      </c>
      <c r="R10" s="3">
        <f t="shared" si="1"/>
        <v>100</v>
      </c>
      <c r="T10" s="20">
        <f t="shared" si="2"/>
        <v>3.9322444041137325</v>
      </c>
      <c r="V10" s="14">
        <f t="shared" si="0"/>
        <v>3.9322444041137325</v>
      </c>
      <c r="W10" s="15"/>
      <c r="X10" s="20"/>
      <c r="AB10" s="52"/>
      <c r="AF10" s="13" t="s">
        <v>51</v>
      </c>
      <c r="AG10" s="7" t="s">
        <v>53</v>
      </c>
      <c r="AH10" s="7" t="s">
        <v>53</v>
      </c>
      <c r="AI10" s="7" t="s">
        <v>53</v>
      </c>
      <c r="AJ10" s="12">
        <f>W57</f>
        <v>70.905427398534471</v>
      </c>
      <c r="AM10" s="26"/>
      <c r="AN10" s="26" t="s">
        <v>55</v>
      </c>
      <c r="AO10" s="27" t="str">
        <f>AG15</f>
        <v>&gt;99</v>
      </c>
      <c r="AP10" s="27" t="s">
        <v>53</v>
      </c>
      <c r="AQ10" s="27">
        <f>U19</f>
        <v>23.697192961708602</v>
      </c>
      <c r="AR10" s="27">
        <f>AJ15</f>
        <v>23.697192961708602</v>
      </c>
      <c r="AS10" s="27" t="s">
        <v>124</v>
      </c>
      <c r="AT10" s="27" t="str">
        <f>AC19</f>
        <v>62:38</v>
      </c>
      <c r="AU10" s="27" t="str">
        <f>Y19</f>
        <v>38:62</v>
      </c>
      <c r="AV10" s="27"/>
      <c r="AX10" s="25" t="s">
        <v>38</v>
      </c>
      <c r="AY10" s="26" t="s">
        <v>55</v>
      </c>
      <c r="AZ10" s="20">
        <v>99</v>
      </c>
      <c r="BA10" s="20">
        <v>99</v>
      </c>
      <c r="BB10" s="20">
        <v>5.1734382080076848</v>
      </c>
      <c r="BC10" s="20">
        <v>99</v>
      </c>
    </row>
    <row r="11" spans="1:56" ht="12" x14ac:dyDescent="0.25">
      <c r="A11" s="3" t="s">
        <v>42</v>
      </c>
      <c r="B11" s="13" t="s">
        <v>51</v>
      </c>
      <c r="E11" s="3">
        <v>5</v>
      </c>
      <c r="F11" s="3" t="s">
        <v>6</v>
      </c>
      <c r="G11" s="3" t="s">
        <v>3</v>
      </c>
      <c r="K11" s="9"/>
      <c r="L11" s="3" t="s">
        <v>16</v>
      </c>
      <c r="M11" s="3" t="s">
        <v>17</v>
      </c>
      <c r="N11" s="3">
        <v>2889</v>
      </c>
      <c r="O11" s="3">
        <v>0</v>
      </c>
      <c r="P11" s="3">
        <v>8673</v>
      </c>
      <c r="Q11" s="3">
        <v>0</v>
      </c>
      <c r="R11" s="3">
        <f t="shared" si="1"/>
        <v>100</v>
      </c>
      <c r="S11" s="3">
        <f t="shared" si="3"/>
        <v>100</v>
      </c>
      <c r="T11" s="20">
        <f t="shared" si="2"/>
        <v>50.025947067981313</v>
      </c>
      <c r="U11" s="3">
        <f t="shared" si="3"/>
        <v>38.414383257467975</v>
      </c>
      <c r="V11" s="14">
        <f t="shared" si="0"/>
        <v>50.025947067981313</v>
      </c>
      <c r="W11" s="15">
        <f>AVERAGE(V11,V12)</f>
        <v>38.414383257467975</v>
      </c>
      <c r="X11" s="20">
        <f>50-W11/2</f>
        <v>30.792808371266013</v>
      </c>
      <c r="Y11" s="52" t="s">
        <v>108</v>
      </c>
      <c r="Z11" s="20">
        <f>50-R11/2</f>
        <v>0</v>
      </c>
      <c r="AA11" s="52" t="s">
        <v>115</v>
      </c>
      <c r="AB11" s="20">
        <f>50-U11/2</f>
        <v>30.792808371266013</v>
      </c>
      <c r="AC11" s="52" t="s">
        <v>137</v>
      </c>
      <c r="AF11" s="13" t="s">
        <v>52</v>
      </c>
      <c r="AG11" s="7" t="s">
        <v>53</v>
      </c>
      <c r="AH11" s="7" t="s">
        <v>53</v>
      </c>
      <c r="AI11" s="7" t="s">
        <v>53</v>
      </c>
      <c r="AJ11" s="7" t="s">
        <v>53</v>
      </c>
      <c r="AM11" s="24"/>
      <c r="AN11" s="24" t="s">
        <v>56</v>
      </c>
      <c r="AO11" s="28">
        <f>AG23</f>
        <v>11</v>
      </c>
      <c r="AP11" s="28" t="s">
        <v>53</v>
      </c>
      <c r="AQ11" s="28" t="s">
        <v>53</v>
      </c>
      <c r="AR11" s="28" t="str">
        <f>AJ23</f>
        <v>&gt;99</v>
      </c>
      <c r="AS11" s="28" t="s">
        <v>124</v>
      </c>
      <c r="AT11" s="28" t="s">
        <v>124</v>
      </c>
      <c r="AU11" s="28" t="s">
        <v>125</v>
      </c>
      <c r="AV11" s="27"/>
      <c r="AX11" s="25" t="s">
        <v>38</v>
      </c>
      <c r="AY11" s="24" t="s">
        <v>56</v>
      </c>
      <c r="AZ11" s="20">
        <v>99</v>
      </c>
      <c r="BA11" s="20">
        <v>99</v>
      </c>
      <c r="BB11" s="20">
        <v>38.414383257467975</v>
      </c>
      <c r="BC11" s="20">
        <v>30</v>
      </c>
    </row>
    <row r="12" spans="1:56" x14ac:dyDescent="0.3">
      <c r="B12" s="13" t="s">
        <v>52</v>
      </c>
      <c r="E12" s="3">
        <v>6</v>
      </c>
      <c r="F12" s="3" t="s">
        <v>6</v>
      </c>
      <c r="G12" s="3" t="s">
        <v>4</v>
      </c>
      <c r="K12" s="16"/>
      <c r="L12" s="17"/>
      <c r="M12" s="17"/>
      <c r="N12" s="17">
        <v>2025</v>
      </c>
      <c r="O12" s="17">
        <v>0</v>
      </c>
      <c r="P12" s="17">
        <v>3508</v>
      </c>
      <c r="Q12" s="17">
        <v>0</v>
      </c>
      <c r="R12" s="3">
        <f t="shared" si="1"/>
        <v>100</v>
      </c>
      <c r="S12" s="17"/>
      <c r="T12" s="20">
        <f t="shared" si="2"/>
        <v>26.802819446954633</v>
      </c>
      <c r="U12" s="17"/>
      <c r="V12" s="18">
        <f t="shared" si="0"/>
        <v>26.802819446954633</v>
      </c>
      <c r="W12" s="19"/>
      <c r="X12" s="20"/>
      <c r="AF12" s="7"/>
      <c r="AG12" s="7"/>
      <c r="AH12" s="7"/>
      <c r="AI12" s="7"/>
      <c r="AJ12" s="7"/>
      <c r="AM12" s="25" t="s">
        <v>40</v>
      </c>
      <c r="AN12" s="26" t="s">
        <v>61</v>
      </c>
      <c r="AO12" s="27" t="str">
        <f>AG8</f>
        <v>&gt;99</v>
      </c>
      <c r="AP12" s="27">
        <f>S27*-1</f>
        <v>2.1044834175528955</v>
      </c>
      <c r="AQ12" s="27">
        <f>U27</f>
        <v>2.1044834175528955</v>
      </c>
      <c r="AR12" s="27" t="str">
        <f>AJ8</f>
        <v>&gt;99</v>
      </c>
      <c r="AS12" s="27" t="str">
        <f>AA27</f>
        <v>49:51</v>
      </c>
      <c r="AT12" s="27" t="str">
        <f>AC27</f>
        <v>51:49</v>
      </c>
      <c r="AU12" s="27" t="s">
        <v>125</v>
      </c>
      <c r="AV12" s="27"/>
      <c r="AX12" s="25" t="s">
        <v>39</v>
      </c>
      <c r="AY12" s="26" t="s">
        <v>61</v>
      </c>
      <c r="AZ12" s="20">
        <v>99</v>
      </c>
      <c r="BA12" s="20">
        <v>99</v>
      </c>
      <c r="BB12" s="20">
        <v>3.3129867567534768</v>
      </c>
      <c r="BC12" s="20">
        <v>99</v>
      </c>
    </row>
    <row r="13" spans="1:56" x14ac:dyDescent="0.3">
      <c r="X13" s="20"/>
      <c r="AD13" s="3" t="s">
        <v>11</v>
      </c>
      <c r="AF13" s="7" t="s">
        <v>32</v>
      </c>
      <c r="AG13" s="7" t="s">
        <v>34</v>
      </c>
      <c r="AH13" s="7" t="s">
        <v>35</v>
      </c>
      <c r="AI13" s="7" t="s">
        <v>36</v>
      </c>
      <c r="AJ13" s="7" t="s">
        <v>37</v>
      </c>
      <c r="AM13" s="26"/>
      <c r="AN13" s="26" t="s">
        <v>55</v>
      </c>
      <c r="AO13" s="27" t="str">
        <f>AG16</f>
        <v>&gt;99</v>
      </c>
      <c r="AP13" s="27">
        <f>S29</f>
        <v>-4.3382682673010667E-2</v>
      </c>
      <c r="AQ13" s="27">
        <f>ABS(U29)</f>
        <v>35.213130253736082</v>
      </c>
      <c r="AR13" s="27">
        <f>AJ16</f>
        <v>25.098108932532853</v>
      </c>
      <c r="AS13" s="27" t="str">
        <f>AA29</f>
        <v>50:50</v>
      </c>
      <c r="AT13" s="27" t="str">
        <f>AC29</f>
        <v>32:68</v>
      </c>
      <c r="AU13" s="27" t="str">
        <f>Y29</f>
        <v>37:63</v>
      </c>
      <c r="AV13" s="27"/>
      <c r="AX13" s="25" t="s">
        <v>39</v>
      </c>
      <c r="AY13" s="26" t="s">
        <v>55</v>
      </c>
      <c r="AZ13" s="20">
        <v>99</v>
      </c>
      <c r="BA13" s="20">
        <v>99</v>
      </c>
      <c r="BB13" s="20">
        <v>23.697192961708602</v>
      </c>
      <c r="BC13" s="20">
        <v>99</v>
      </c>
    </row>
    <row r="14" spans="1:56" x14ac:dyDescent="0.3">
      <c r="R14" s="3" t="s">
        <v>101</v>
      </c>
      <c r="T14" s="3" t="s">
        <v>102</v>
      </c>
      <c r="X14" s="20"/>
      <c r="AF14" s="11" t="s">
        <v>38</v>
      </c>
      <c r="AG14" s="7" t="s">
        <v>53</v>
      </c>
      <c r="AH14" s="7" t="s">
        <v>53</v>
      </c>
      <c r="AI14" s="7" t="s">
        <v>53</v>
      </c>
      <c r="AJ14" s="12">
        <f>W9</f>
        <v>5.1734382080076848</v>
      </c>
      <c r="AM14" s="24"/>
      <c r="AN14" s="24" t="s">
        <v>56</v>
      </c>
      <c r="AO14" s="28" t="str">
        <f>AG24</f>
        <v>&gt;99</v>
      </c>
      <c r="AP14" s="28">
        <f>S31</f>
        <v>16.802568087092723</v>
      </c>
      <c r="AQ14" s="28">
        <f>U31*-1</f>
        <v>74.112679495273483</v>
      </c>
      <c r="AR14" s="28">
        <f>AJ24</f>
        <v>42.689888591819241</v>
      </c>
      <c r="AS14" s="28" t="str">
        <f>AA31</f>
        <v>58:42</v>
      </c>
      <c r="AT14" s="28" t="str">
        <f>AC31</f>
        <v>13:87</v>
      </c>
      <c r="AU14" s="28" t="str">
        <f>Y31</f>
        <v>29:71</v>
      </c>
      <c r="AV14" s="27"/>
      <c r="AX14" s="25" t="s">
        <v>39</v>
      </c>
      <c r="AY14" s="24" t="s">
        <v>56</v>
      </c>
      <c r="AZ14" s="20">
        <v>0</v>
      </c>
      <c r="BA14" s="20">
        <v>99</v>
      </c>
      <c r="BB14" s="20">
        <v>99</v>
      </c>
      <c r="BC14" s="20">
        <v>11</v>
      </c>
    </row>
    <row r="15" spans="1:56" x14ac:dyDescent="0.3">
      <c r="K15" s="4">
        <v>2</v>
      </c>
      <c r="L15" s="5"/>
      <c r="M15" s="5"/>
      <c r="N15" s="3" t="s">
        <v>82</v>
      </c>
      <c r="O15" s="3" t="s">
        <v>83</v>
      </c>
      <c r="P15" s="3" t="s">
        <v>84</v>
      </c>
      <c r="Q15" s="3" t="s">
        <v>85</v>
      </c>
      <c r="R15" s="5"/>
      <c r="S15" s="5"/>
      <c r="T15" s="5"/>
      <c r="U15" s="5"/>
      <c r="V15" s="5"/>
      <c r="W15" s="6"/>
      <c r="X15" s="20"/>
      <c r="AF15" s="11" t="s">
        <v>39</v>
      </c>
      <c r="AG15" s="7" t="s">
        <v>53</v>
      </c>
      <c r="AH15" s="7" t="s">
        <v>53</v>
      </c>
      <c r="AI15" s="7" t="s">
        <v>53</v>
      </c>
      <c r="AJ15" s="12">
        <f>W19</f>
        <v>23.697192961708602</v>
      </c>
      <c r="AM15" s="25" t="s">
        <v>41</v>
      </c>
      <c r="AN15" s="26" t="s">
        <v>61</v>
      </c>
      <c r="AO15" s="27" t="str">
        <f>AG9</f>
        <v>&gt;99</v>
      </c>
      <c r="AP15" s="27">
        <f>R47</f>
        <v>0.8490296803652968</v>
      </c>
      <c r="AQ15" s="27">
        <f>U47</f>
        <v>0.73294247203035456</v>
      </c>
      <c r="AR15" s="27" t="s">
        <v>53</v>
      </c>
      <c r="AS15" s="27" t="str">
        <f>AA47</f>
        <v>50:50</v>
      </c>
      <c r="AT15" s="27" t="str">
        <f>AC47</f>
        <v>50:50</v>
      </c>
      <c r="AU15" s="27" t="s">
        <v>125</v>
      </c>
      <c r="AV15" s="27"/>
      <c r="AX15" s="25" t="s">
        <v>40</v>
      </c>
      <c r="AY15" s="26" t="s">
        <v>61</v>
      </c>
      <c r="AZ15" s="20">
        <v>0</v>
      </c>
      <c r="BA15" s="20">
        <v>2.1044834175528955</v>
      </c>
      <c r="BB15" s="20">
        <v>99</v>
      </c>
      <c r="BC15" s="20">
        <v>99</v>
      </c>
    </row>
    <row r="16" spans="1:56" x14ac:dyDescent="0.3">
      <c r="B16" s="3" t="s">
        <v>44</v>
      </c>
      <c r="F16" s="3" t="s">
        <v>43</v>
      </c>
      <c r="G16" s="3" t="s">
        <v>3</v>
      </c>
      <c r="K16" s="9"/>
      <c r="N16" s="3" t="s">
        <v>12</v>
      </c>
      <c r="O16" s="3" t="s">
        <v>13</v>
      </c>
      <c r="P16" s="3" t="s">
        <v>14</v>
      </c>
      <c r="Q16" s="3" t="s">
        <v>15</v>
      </c>
      <c r="R16" s="3" t="s">
        <v>23</v>
      </c>
      <c r="S16" s="3" t="s">
        <v>25</v>
      </c>
      <c r="T16" s="3" t="s">
        <v>24</v>
      </c>
      <c r="U16" s="3" t="s">
        <v>25</v>
      </c>
      <c r="V16" s="3" t="s">
        <v>18</v>
      </c>
      <c r="W16" s="10" t="s">
        <v>25</v>
      </c>
      <c r="X16" s="20"/>
      <c r="AF16" s="11" t="s">
        <v>40</v>
      </c>
      <c r="AG16" s="7" t="s">
        <v>53</v>
      </c>
      <c r="AH16" s="12">
        <f>ABS(S29)</f>
        <v>4.3382682673010667E-2</v>
      </c>
      <c r="AI16" s="12">
        <f>ABS(U29)</f>
        <v>35.213130253736082</v>
      </c>
      <c r="AJ16" s="12">
        <f>W29</f>
        <v>25.098108932532853</v>
      </c>
      <c r="AM16" s="26"/>
      <c r="AN16" s="26" t="s">
        <v>55</v>
      </c>
      <c r="AO16" s="27" t="str">
        <f>AG17</f>
        <v>&gt;99</v>
      </c>
      <c r="AP16" s="27">
        <f>R49*-1</f>
        <v>64.036544850498331</v>
      </c>
      <c r="AQ16" s="27">
        <f>U49*-1</f>
        <v>1.5066140975863587</v>
      </c>
      <c r="AR16" s="27">
        <f>AJ17</f>
        <v>11.968170355841973</v>
      </c>
      <c r="AS16" s="27" t="str">
        <f>AA49</f>
        <v>18:82</v>
      </c>
      <c r="AT16" s="27" t="str">
        <f>AC49</f>
        <v>49:51</v>
      </c>
      <c r="AU16" s="27" t="str">
        <f>Y49</f>
        <v>44:56</v>
      </c>
      <c r="AV16" s="27"/>
      <c r="AX16" s="25" t="s">
        <v>40</v>
      </c>
      <c r="AY16" s="26" t="s">
        <v>55</v>
      </c>
      <c r="AZ16" s="20">
        <v>28.182481063224593</v>
      </c>
      <c r="BA16" s="20">
        <v>46.956532632722642</v>
      </c>
      <c r="BB16" s="20">
        <v>25.098108932532853</v>
      </c>
      <c r="BC16" s="20">
        <v>99</v>
      </c>
    </row>
    <row r="17" spans="2:55" ht="12" x14ac:dyDescent="0.25">
      <c r="B17" s="3" t="s">
        <v>45</v>
      </c>
      <c r="F17" s="3" t="s">
        <v>43</v>
      </c>
      <c r="G17" s="3" t="s">
        <v>4</v>
      </c>
      <c r="K17" s="9"/>
      <c r="L17" s="3" t="s">
        <v>8</v>
      </c>
      <c r="M17" s="3" t="s">
        <v>9</v>
      </c>
      <c r="N17" s="3">
        <v>10190</v>
      </c>
      <c r="O17" s="3">
        <v>0</v>
      </c>
      <c r="P17" s="3">
        <v>10977</v>
      </c>
      <c r="Q17" s="3">
        <v>0</v>
      </c>
      <c r="R17" s="3">
        <f>(N17+P17-O17-Q17)/(N17+O17+P17+Q17)*100</f>
        <v>100</v>
      </c>
      <c r="S17" s="3">
        <f>AVERAGE(R17:R18)</f>
        <v>100</v>
      </c>
      <c r="T17" s="20">
        <f>(P17+O17-N17-Q17)/(P17+Q17+O17+N17)*100</f>
        <v>3.7180516842254452</v>
      </c>
      <c r="U17" s="20">
        <f>AVERAGE(T17:T18)</f>
        <v>3.3129867567534768</v>
      </c>
      <c r="V17" s="14">
        <f>ABS((N17+O17-P17-Q17)/(N17+O17+P17+Q17)*100)</f>
        <v>3.7180516842254452</v>
      </c>
      <c r="W17" s="15">
        <f>AVERAGE(V17,V18)</f>
        <v>3.3129867567534768</v>
      </c>
      <c r="X17" s="20">
        <f>50-W17/2</f>
        <v>48.343506621623263</v>
      </c>
      <c r="Y17" s="52" t="s">
        <v>107</v>
      </c>
      <c r="Z17" s="20">
        <f>50-R17/2</f>
        <v>0</v>
      </c>
      <c r="AA17" s="52" t="s">
        <v>115</v>
      </c>
      <c r="AB17" s="20">
        <f>50-U17/2</f>
        <v>48.343506621623263</v>
      </c>
      <c r="AC17" s="52" t="s">
        <v>130</v>
      </c>
      <c r="AF17" s="11" t="s">
        <v>41</v>
      </c>
      <c r="AG17" s="7" t="s">
        <v>53</v>
      </c>
      <c r="AH17" s="12">
        <f>ABS(S49)</f>
        <v>62.731525437297357</v>
      </c>
      <c r="AI17" s="12">
        <f>U49</f>
        <v>-1.5066140975863587</v>
      </c>
      <c r="AJ17" s="12">
        <f>W49</f>
        <v>11.968170355841973</v>
      </c>
      <c r="AM17" s="24"/>
      <c r="AN17" s="24" t="s">
        <v>56</v>
      </c>
      <c r="AO17" s="28" t="str">
        <f>AG25</f>
        <v>&gt;99</v>
      </c>
      <c r="AP17" s="28" t="s">
        <v>29</v>
      </c>
      <c r="AQ17" s="28" t="s">
        <v>29</v>
      </c>
      <c r="AR17" s="28" t="str">
        <f>AJ25</f>
        <v>n.d.</v>
      </c>
      <c r="AS17" s="28" t="s">
        <v>29</v>
      </c>
      <c r="AT17" s="28" t="s">
        <v>29</v>
      </c>
      <c r="AU17" s="28" t="s">
        <v>29</v>
      </c>
      <c r="AV17" s="27"/>
      <c r="AX17" s="25" t="s">
        <v>40</v>
      </c>
      <c r="AY17" s="24" t="s">
        <v>56</v>
      </c>
      <c r="AZ17" s="20">
        <v>99</v>
      </c>
      <c r="BA17" s="20">
        <v>63.747956757882314</v>
      </c>
      <c r="BB17" s="20">
        <v>42.689888591819241</v>
      </c>
      <c r="BC17" s="20">
        <v>99</v>
      </c>
    </row>
    <row r="18" spans="2:55" ht="12" x14ac:dyDescent="0.25">
      <c r="K18" s="9"/>
      <c r="N18" s="3">
        <v>13439</v>
      </c>
      <c r="O18" s="3">
        <v>0</v>
      </c>
      <c r="P18" s="3">
        <v>14244</v>
      </c>
      <c r="Q18" s="3">
        <v>0</v>
      </c>
      <c r="R18" s="3">
        <f t="shared" ref="R18:R22" si="4">(N18+P18-O18-Q18)/(N18+O18+P18+Q18)*100</f>
        <v>100</v>
      </c>
      <c r="T18" s="20">
        <f t="shared" ref="T18:T22" si="5">(P18+O18-N18-Q18)/(P18+Q18+O18+N18)*100</f>
        <v>2.9079218292815083</v>
      </c>
      <c r="U18" s="20"/>
      <c r="V18" s="14">
        <f t="shared" ref="V18:V22" si="6">ABS((N18+O18-P18-Q18)/(N18+O18+P18+Q18)*100)</f>
        <v>2.9079218292815083</v>
      </c>
      <c r="W18" s="15"/>
      <c r="X18" s="20"/>
      <c r="AB18" s="52"/>
      <c r="AF18" s="13" t="s">
        <v>51</v>
      </c>
      <c r="AG18" s="7" t="s">
        <v>53</v>
      </c>
      <c r="AH18" s="7" t="s">
        <v>53</v>
      </c>
      <c r="AI18" s="7" t="s">
        <v>53</v>
      </c>
      <c r="AJ18" s="12">
        <f>W59</f>
        <v>9.3703255081745294</v>
      </c>
      <c r="AX18" s="25" t="s">
        <v>41</v>
      </c>
      <c r="AY18" s="26" t="s">
        <v>61</v>
      </c>
      <c r="AZ18" s="20">
        <v>99</v>
      </c>
      <c r="BA18" s="20">
        <v>99</v>
      </c>
      <c r="BB18" s="20">
        <v>0.73294247203035456</v>
      </c>
      <c r="BC18" s="20">
        <v>99</v>
      </c>
    </row>
    <row r="19" spans="2:55" ht="12" x14ac:dyDescent="0.25">
      <c r="K19" s="9"/>
      <c r="L19" s="3" t="s">
        <v>10</v>
      </c>
      <c r="M19" s="3" t="s">
        <v>11</v>
      </c>
      <c r="N19" s="3">
        <v>5700</v>
      </c>
      <c r="O19" s="3">
        <v>0</v>
      </c>
      <c r="P19" s="3">
        <v>9282</v>
      </c>
      <c r="Q19" s="3">
        <v>0</v>
      </c>
      <c r="R19" s="3">
        <f t="shared" si="4"/>
        <v>100</v>
      </c>
      <c r="S19" s="3">
        <f>AVERAGE(R19:R20)</f>
        <v>100</v>
      </c>
      <c r="T19" s="20">
        <f t="shared" si="5"/>
        <v>23.908690428514216</v>
      </c>
      <c r="U19" s="20">
        <f>AVERAGE(T19:T20)</f>
        <v>23.697192961708602</v>
      </c>
      <c r="V19" s="14">
        <f t="shared" si="6"/>
        <v>23.908690428514216</v>
      </c>
      <c r="W19" s="15">
        <f>AVERAGE(V19,V20)</f>
        <v>23.697192961708602</v>
      </c>
      <c r="X19" s="20">
        <f>50-W19/2</f>
        <v>38.151403519145703</v>
      </c>
      <c r="Y19" s="52" t="s">
        <v>109</v>
      </c>
      <c r="Z19" s="20">
        <f>50-R19/2</f>
        <v>0</v>
      </c>
      <c r="AA19" s="52" t="s">
        <v>115</v>
      </c>
      <c r="AB19" s="20">
        <f>50-U19/2</f>
        <v>38.151403519145703</v>
      </c>
      <c r="AC19" s="52" t="s">
        <v>131</v>
      </c>
      <c r="AF19" s="13" t="s">
        <v>52</v>
      </c>
      <c r="AG19" s="7" t="s">
        <v>53</v>
      </c>
      <c r="AH19" s="7" t="s">
        <v>53</v>
      </c>
      <c r="AI19" s="7" t="s">
        <v>53</v>
      </c>
      <c r="AJ19" s="7" t="s">
        <v>53</v>
      </c>
      <c r="AX19" s="25" t="s">
        <v>41</v>
      </c>
      <c r="AY19" s="26" t="s">
        <v>55</v>
      </c>
      <c r="AZ19" s="20">
        <v>8</v>
      </c>
      <c r="BA19" s="20">
        <v>28</v>
      </c>
      <c r="BB19" s="20">
        <v>62.731525437297357</v>
      </c>
      <c r="BC19" s="20">
        <v>99</v>
      </c>
    </row>
    <row r="20" spans="2:55" ht="12" x14ac:dyDescent="0.25">
      <c r="K20" s="9"/>
      <c r="N20" s="3">
        <v>5817</v>
      </c>
      <c r="O20" s="3">
        <v>0</v>
      </c>
      <c r="P20" s="3">
        <v>9388</v>
      </c>
      <c r="Q20" s="3">
        <v>0</v>
      </c>
      <c r="R20" s="3">
        <f t="shared" si="4"/>
        <v>100</v>
      </c>
      <c r="T20" s="20">
        <f t="shared" si="5"/>
        <v>23.485695494902991</v>
      </c>
      <c r="V20" s="14">
        <f t="shared" si="6"/>
        <v>23.485695494902991</v>
      </c>
      <c r="W20" s="15"/>
      <c r="X20" s="20"/>
      <c r="AB20" s="52"/>
      <c r="AF20" s="7"/>
      <c r="AG20" s="7"/>
      <c r="AH20" s="7"/>
      <c r="AI20" s="7"/>
      <c r="AJ20" s="7"/>
      <c r="AX20" s="25" t="s">
        <v>41</v>
      </c>
      <c r="AY20" s="24" t="s">
        <v>56</v>
      </c>
      <c r="AZ20" s="20"/>
      <c r="BA20" s="20">
        <v>99</v>
      </c>
      <c r="BB20" s="20">
        <v>91.018334480812939</v>
      </c>
      <c r="BC20" s="20">
        <v>99</v>
      </c>
    </row>
    <row r="21" spans="2:55" ht="12" x14ac:dyDescent="0.25">
      <c r="K21" s="9"/>
      <c r="L21" s="3" t="s">
        <v>16</v>
      </c>
      <c r="M21" s="3" t="s">
        <v>17</v>
      </c>
      <c r="N21" s="3">
        <v>0</v>
      </c>
      <c r="O21" s="3">
        <v>0</v>
      </c>
      <c r="P21" s="3">
        <v>2255</v>
      </c>
      <c r="Q21" s="3">
        <v>0</v>
      </c>
      <c r="R21" s="3">
        <f t="shared" si="4"/>
        <v>100</v>
      </c>
      <c r="S21" s="3">
        <f>AVERAGE(R21:R22)</f>
        <v>100</v>
      </c>
      <c r="T21" s="20">
        <f t="shared" si="5"/>
        <v>100</v>
      </c>
      <c r="U21" s="3">
        <f>AVERAGE(T21:T22)</f>
        <v>100</v>
      </c>
      <c r="V21" s="14">
        <f t="shared" si="6"/>
        <v>100</v>
      </c>
      <c r="W21" s="15">
        <f>AVERAGE(V21,V22)</f>
        <v>100</v>
      </c>
      <c r="X21" s="20">
        <f>50-W21/2</f>
        <v>0</v>
      </c>
      <c r="Y21" s="52" t="s">
        <v>110</v>
      </c>
      <c r="Z21" s="20">
        <f>50-R21/2</f>
        <v>0</v>
      </c>
      <c r="AA21" s="52" t="s">
        <v>115</v>
      </c>
      <c r="AB21" s="20"/>
      <c r="AC21" s="52" t="s">
        <v>115</v>
      </c>
      <c r="AD21" s="3" t="s">
        <v>17</v>
      </c>
      <c r="AF21" s="7" t="s">
        <v>32</v>
      </c>
      <c r="AG21" s="7" t="s">
        <v>34</v>
      </c>
      <c r="AH21" s="7" t="s">
        <v>35</v>
      </c>
      <c r="AI21" s="7" t="s">
        <v>36</v>
      </c>
      <c r="AJ21" s="7" t="s">
        <v>37</v>
      </c>
    </row>
    <row r="22" spans="2:55" x14ac:dyDescent="0.3">
      <c r="K22" s="16"/>
      <c r="L22" s="17"/>
      <c r="M22" s="17"/>
      <c r="N22" s="17">
        <v>0</v>
      </c>
      <c r="O22" s="17">
        <v>0</v>
      </c>
      <c r="P22" s="17">
        <v>2513</v>
      </c>
      <c r="Q22" s="17">
        <v>0</v>
      </c>
      <c r="R22" s="3">
        <f t="shared" si="4"/>
        <v>100</v>
      </c>
      <c r="S22" s="17"/>
      <c r="T22" s="20">
        <f t="shared" si="5"/>
        <v>100</v>
      </c>
      <c r="U22" s="17"/>
      <c r="V22" s="18">
        <f t="shared" si="6"/>
        <v>100</v>
      </c>
      <c r="W22" s="19"/>
      <c r="X22" s="20"/>
      <c r="AF22" s="11" t="s">
        <v>38</v>
      </c>
      <c r="AG22" s="7">
        <v>30</v>
      </c>
      <c r="AH22" s="7" t="s">
        <v>53</v>
      </c>
      <c r="AI22" s="7" t="s">
        <v>53</v>
      </c>
      <c r="AJ22" s="12">
        <f>W11</f>
        <v>38.414383257467975</v>
      </c>
      <c r="AM22" s="24" t="s">
        <v>32</v>
      </c>
      <c r="AN22" s="29" t="s">
        <v>33</v>
      </c>
      <c r="AO22" s="29" t="s">
        <v>34</v>
      </c>
      <c r="AP22" s="29" t="s">
        <v>58</v>
      </c>
      <c r="AQ22" s="29" t="s">
        <v>59</v>
      </c>
      <c r="AR22" s="29" t="s">
        <v>54</v>
      </c>
      <c r="AS22" s="25"/>
      <c r="AT22" s="25"/>
      <c r="AU22" s="25"/>
      <c r="AV22" s="25"/>
    </row>
    <row r="23" spans="2:55" x14ac:dyDescent="0.3">
      <c r="C23" s="3" t="s">
        <v>81</v>
      </c>
      <c r="D23" s="3">
        <v>1</v>
      </c>
      <c r="E23" s="3">
        <v>2</v>
      </c>
      <c r="F23" s="3">
        <v>3</v>
      </c>
      <c r="G23" s="3">
        <v>4</v>
      </c>
      <c r="X23" s="20"/>
      <c r="AF23" s="11" t="s">
        <v>39</v>
      </c>
      <c r="AG23" s="7">
        <v>11</v>
      </c>
      <c r="AH23" s="7" t="s">
        <v>48</v>
      </c>
      <c r="AI23" s="7" t="s">
        <v>53</v>
      </c>
      <c r="AJ23" s="7" t="s">
        <v>53</v>
      </c>
      <c r="AM23" s="42" t="s">
        <v>51</v>
      </c>
      <c r="AN23" s="26" t="s">
        <v>61</v>
      </c>
      <c r="AO23" s="43">
        <v>99</v>
      </c>
      <c r="AP23" s="43">
        <v>99</v>
      </c>
      <c r="AQ23" s="43">
        <v>99</v>
      </c>
      <c r="AR23" s="44">
        <v>70.905427398534471</v>
      </c>
      <c r="AS23" s="44"/>
      <c r="AT23" s="44"/>
      <c r="AU23" s="44"/>
      <c r="AV23" s="44"/>
    </row>
    <row r="24" spans="2:55" x14ac:dyDescent="0.3">
      <c r="C24" s="3" t="s">
        <v>38</v>
      </c>
      <c r="D24" s="3" t="s">
        <v>82</v>
      </c>
      <c r="E24" s="3" t="s">
        <v>83</v>
      </c>
      <c r="F24" s="3" t="s">
        <v>84</v>
      </c>
      <c r="G24" s="3" t="s">
        <v>85</v>
      </c>
      <c r="X24" s="20"/>
      <c r="AF24" s="11" t="s">
        <v>40</v>
      </c>
      <c r="AG24" s="7" t="s">
        <v>53</v>
      </c>
      <c r="AH24" s="7" t="s">
        <v>53</v>
      </c>
      <c r="AI24" s="12">
        <f>ABS(U31)</f>
        <v>74.112679495273483</v>
      </c>
      <c r="AJ24" s="12">
        <f>W31</f>
        <v>42.689888591819241</v>
      </c>
      <c r="AM24" s="45"/>
      <c r="AN24" s="24" t="s">
        <v>55</v>
      </c>
      <c r="AO24" s="46">
        <v>99</v>
      </c>
      <c r="AP24" s="46">
        <v>99</v>
      </c>
      <c r="AQ24" s="46">
        <v>99</v>
      </c>
      <c r="AR24" s="47">
        <v>9.3703255081745294</v>
      </c>
      <c r="AS24" s="44"/>
      <c r="AT24" s="44"/>
      <c r="AU24" s="44"/>
      <c r="AV24" s="44"/>
    </row>
    <row r="25" spans="2:55" x14ac:dyDescent="0.3">
      <c r="C25" s="3" t="s">
        <v>39</v>
      </c>
      <c r="D25" s="3" t="s">
        <v>82</v>
      </c>
      <c r="E25" s="3" t="s">
        <v>83</v>
      </c>
      <c r="F25" s="3" t="s">
        <v>84</v>
      </c>
      <c r="G25" s="3" t="s">
        <v>85</v>
      </c>
      <c r="K25" s="4">
        <v>3</v>
      </c>
      <c r="L25" s="5"/>
      <c r="M25" s="5"/>
      <c r="N25" s="3" t="s">
        <v>86</v>
      </c>
      <c r="O25" s="3" t="s">
        <v>87</v>
      </c>
      <c r="P25" s="3" t="s">
        <v>88</v>
      </c>
      <c r="Q25" s="3" t="s">
        <v>89</v>
      </c>
      <c r="R25" s="5"/>
      <c r="S25" s="5"/>
      <c r="T25" s="5"/>
      <c r="U25" s="5"/>
      <c r="V25" s="5"/>
      <c r="W25" s="6"/>
      <c r="X25" s="20"/>
      <c r="AF25" s="11" t="s">
        <v>41</v>
      </c>
      <c r="AG25" s="7" t="s">
        <v>53</v>
      </c>
      <c r="AH25" s="12" t="s">
        <v>53</v>
      </c>
      <c r="AI25" s="12" t="s">
        <v>29</v>
      </c>
      <c r="AJ25" s="12" t="str">
        <f>W41</f>
        <v>n.d.</v>
      </c>
      <c r="AM25" s="42" t="s">
        <v>52</v>
      </c>
      <c r="AN25" s="26" t="s">
        <v>61</v>
      </c>
      <c r="AO25" s="43">
        <v>99</v>
      </c>
      <c r="AP25" s="43">
        <v>99</v>
      </c>
      <c r="AQ25" s="43">
        <v>99</v>
      </c>
      <c r="AR25" s="43">
        <v>99</v>
      </c>
      <c r="AS25" s="43"/>
      <c r="AT25" s="43"/>
      <c r="AU25" s="43"/>
      <c r="AV25" s="43"/>
    </row>
    <row r="26" spans="2:55" x14ac:dyDescent="0.3">
      <c r="C26" s="3" t="s">
        <v>40</v>
      </c>
      <c r="D26" s="3" t="s">
        <v>86</v>
      </c>
      <c r="E26" s="3" t="s">
        <v>87</v>
      </c>
      <c r="F26" s="3" t="s">
        <v>88</v>
      </c>
      <c r="G26" s="3" t="s">
        <v>89</v>
      </c>
      <c r="K26" s="9"/>
      <c r="N26" s="3" t="s">
        <v>12</v>
      </c>
      <c r="O26" s="3" t="s">
        <v>13</v>
      </c>
      <c r="P26" s="3" t="s">
        <v>14</v>
      </c>
      <c r="Q26" s="3" t="s">
        <v>15</v>
      </c>
      <c r="R26" s="3" t="s">
        <v>23</v>
      </c>
      <c r="S26" s="3" t="s">
        <v>25</v>
      </c>
      <c r="T26" s="3" t="s">
        <v>24</v>
      </c>
      <c r="U26" s="3" t="s">
        <v>25</v>
      </c>
      <c r="V26" s="3" t="s">
        <v>18</v>
      </c>
      <c r="W26" s="10" t="s">
        <v>25</v>
      </c>
      <c r="X26" s="20"/>
      <c r="AF26" s="13" t="s">
        <v>51</v>
      </c>
      <c r="AG26" s="7" t="s">
        <v>49</v>
      </c>
      <c r="AH26" s="12" t="s">
        <v>49</v>
      </c>
      <c r="AI26" s="12" t="s">
        <v>49</v>
      </c>
      <c r="AJ26" s="12" t="s">
        <v>49</v>
      </c>
      <c r="AM26" s="45"/>
      <c r="AN26" s="24" t="s">
        <v>55</v>
      </c>
      <c r="AO26" s="46">
        <v>99</v>
      </c>
      <c r="AP26" s="46">
        <v>99</v>
      </c>
      <c r="AQ26" s="46">
        <v>99</v>
      </c>
      <c r="AR26" s="46">
        <v>99</v>
      </c>
      <c r="AS26" s="43"/>
      <c r="AT26" s="43"/>
      <c r="AU26" s="43"/>
      <c r="AV26" s="43"/>
    </row>
    <row r="27" spans="2:55" ht="12" x14ac:dyDescent="0.25">
      <c r="C27" s="3" t="s">
        <v>41</v>
      </c>
      <c r="D27" s="3" t="s">
        <v>87</v>
      </c>
      <c r="E27" s="3" t="s">
        <v>88</v>
      </c>
      <c r="F27" s="3" t="s">
        <v>89</v>
      </c>
      <c r="G27" s="3" t="s">
        <v>86</v>
      </c>
      <c r="K27" s="9"/>
      <c r="L27" s="3" t="s">
        <v>8</v>
      </c>
      <c r="M27" s="3" t="s">
        <v>9</v>
      </c>
      <c r="N27" s="20">
        <v>0</v>
      </c>
      <c r="O27" s="20">
        <v>0</v>
      </c>
      <c r="P27" s="20">
        <v>1374</v>
      </c>
      <c r="Q27" s="20">
        <v>1354</v>
      </c>
      <c r="R27" s="20">
        <f>(N27-P27-O27+Q27)/(N27+O27+P27+Q27)*100</f>
        <v>-0.73313782991202348</v>
      </c>
      <c r="S27" s="20">
        <f>AVERAGE(R27:R28)</f>
        <v>-2.1044834175528955</v>
      </c>
      <c r="T27" s="20">
        <f>(P27-O27+N27-Q27)/(P27+Q27+O27+N27)*100</f>
        <v>0.73313782991202348</v>
      </c>
      <c r="U27" s="20">
        <f>AVERAGE(T27:T28)</f>
        <v>2.1044834175528955</v>
      </c>
      <c r="V27" s="20">
        <f>ABS((N27+O27-P27-Q27)/(N27+O27+P27+Q27)*100)</f>
        <v>100</v>
      </c>
      <c r="W27" s="21">
        <f>AVERAGE(V27,V28)</f>
        <v>100</v>
      </c>
      <c r="X27" s="20">
        <f>50-W27/2</f>
        <v>0</v>
      </c>
      <c r="Y27" s="52" t="s">
        <v>110</v>
      </c>
      <c r="Z27" s="20">
        <f>50-S27/2</f>
        <v>51.05224170877645</v>
      </c>
      <c r="AA27" s="52" t="s">
        <v>133</v>
      </c>
      <c r="AB27" s="20">
        <f>50-U27/2</f>
        <v>48.94775829122355</v>
      </c>
      <c r="AC27" s="52" t="s">
        <v>135</v>
      </c>
      <c r="AF27" s="13" t="s">
        <v>52</v>
      </c>
      <c r="AG27" s="7" t="s">
        <v>49</v>
      </c>
      <c r="AH27" s="12" t="s">
        <v>49</v>
      </c>
      <c r="AI27" s="12" t="s">
        <v>49</v>
      </c>
      <c r="AJ27" s="12" t="s">
        <v>49</v>
      </c>
    </row>
    <row r="28" spans="2:55" ht="12" x14ac:dyDescent="0.25">
      <c r="K28" s="9"/>
      <c r="N28" s="20">
        <v>0</v>
      </c>
      <c r="O28" s="20">
        <v>0</v>
      </c>
      <c r="P28" s="20">
        <v>2590</v>
      </c>
      <c r="Q28" s="20">
        <v>2416</v>
      </c>
      <c r="R28" s="20">
        <f t="shared" ref="R28:R32" si="7">(N28-P28-O28+Q28)/(N28+O28+P28+Q28)*100</f>
        <v>-3.4758290051937673</v>
      </c>
      <c r="S28" s="20"/>
      <c r="T28" s="20">
        <f t="shared" ref="T28:T32" si="8">(P28-O28+N28-Q28)/(P28+Q28+O28+N28)*100</f>
        <v>3.4758290051937673</v>
      </c>
      <c r="U28" s="20"/>
      <c r="V28" s="20">
        <f t="shared" ref="V28:V32" si="9">ABS((N28+O28-P28-Q28)/(N28+O28+P28+Q28)*100)</f>
        <v>100</v>
      </c>
      <c r="W28" s="21"/>
      <c r="X28" s="20"/>
      <c r="Z28" s="20"/>
      <c r="AB28" s="20"/>
      <c r="AO28" s="13"/>
      <c r="AP28" s="7"/>
      <c r="AQ28" s="12"/>
      <c r="AR28" s="12"/>
      <c r="AS28" s="12"/>
      <c r="AT28" s="12"/>
      <c r="AU28" s="12"/>
      <c r="AV28" s="12"/>
      <c r="AW28" s="12"/>
    </row>
    <row r="29" spans="2:55" ht="12" x14ac:dyDescent="0.25">
      <c r="K29" s="9"/>
      <c r="L29" s="3" t="s">
        <v>10</v>
      </c>
      <c r="M29" s="3" t="s">
        <v>11</v>
      </c>
      <c r="N29" s="20">
        <v>3228</v>
      </c>
      <c r="O29" s="20">
        <v>5853</v>
      </c>
      <c r="P29" s="20">
        <v>1398</v>
      </c>
      <c r="Q29" s="20">
        <v>4027</v>
      </c>
      <c r="R29" s="20">
        <f t="shared" si="7"/>
        <v>2.757479663587481E-2</v>
      </c>
      <c r="S29" s="20">
        <f>AVERAGE(R29:R30)</f>
        <v>-4.3382682673010667E-2</v>
      </c>
      <c r="T29" s="20">
        <f t="shared" si="8"/>
        <v>-36.219495381221563</v>
      </c>
      <c r="U29" s="20">
        <f>AVERAGE(T29:T30)</f>
        <v>-35.213130253736082</v>
      </c>
      <c r="V29" s="20">
        <f t="shared" si="9"/>
        <v>25.203364125189577</v>
      </c>
      <c r="W29" s="21">
        <f>AVERAGE(V29,V30)</f>
        <v>25.098108932532853</v>
      </c>
      <c r="X29" s="20">
        <f>50-W29/2</f>
        <v>37.450945533733574</v>
      </c>
      <c r="Y29" s="52" t="s">
        <v>111</v>
      </c>
      <c r="Z29" s="20">
        <f t="shared" ref="Z29:Z31" si="10">50-S29/2</f>
        <v>50.021691341336506</v>
      </c>
      <c r="AA29" s="52" t="s">
        <v>106</v>
      </c>
      <c r="AB29" s="20">
        <f>50-U29/2</f>
        <v>67.606565126868048</v>
      </c>
      <c r="AC29" s="52" t="s">
        <v>132</v>
      </c>
    </row>
    <row r="30" spans="2:55" ht="12" x14ac:dyDescent="0.25">
      <c r="K30" s="9"/>
      <c r="N30" s="20">
        <v>4758</v>
      </c>
      <c r="O30" s="20">
        <v>8360</v>
      </c>
      <c r="P30" s="20">
        <v>2147</v>
      </c>
      <c r="Q30" s="20">
        <v>5725</v>
      </c>
      <c r="R30" s="20">
        <f t="shared" si="7"/>
        <v>-0.11434016198189614</v>
      </c>
      <c r="S30" s="20"/>
      <c r="T30" s="20">
        <f t="shared" si="8"/>
        <v>-34.206765126250595</v>
      </c>
      <c r="U30" s="20"/>
      <c r="V30" s="20">
        <f t="shared" si="9"/>
        <v>24.992853739876132</v>
      </c>
      <c r="W30" s="21"/>
      <c r="X30" s="20"/>
      <c r="Z30" s="20"/>
      <c r="AB30" s="20"/>
    </row>
    <row r="31" spans="2:55" x14ac:dyDescent="0.3">
      <c r="D31" s="3" t="s">
        <v>91</v>
      </c>
      <c r="E31" s="3" t="s">
        <v>93</v>
      </c>
      <c r="K31" s="9"/>
      <c r="L31" s="3" t="s">
        <v>16</v>
      </c>
      <c r="M31" s="3" t="s">
        <v>17</v>
      </c>
      <c r="N31" s="20">
        <v>0</v>
      </c>
      <c r="O31" s="20">
        <v>1370</v>
      </c>
      <c r="P31" s="20">
        <v>699</v>
      </c>
      <c r="Q31" s="20">
        <v>3019</v>
      </c>
      <c r="R31" s="20">
        <f t="shared" si="7"/>
        <v>18.671383647798741</v>
      </c>
      <c r="S31" s="20">
        <f>AVERAGE(R31:R32)</f>
        <v>16.802568087092723</v>
      </c>
      <c r="T31" s="20">
        <f t="shared" si="8"/>
        <v>-72.523584905660371</v>
      </c>
      <c r="U31" s="20">
        <f>AVERAGE(T31:T32)</f>
        <v>-74.112679495273483</v>
      </c>
      <c r="V31" s="20">
        <f t="shared" si="9"/>
        <v>46.147798742138363</v>
      </c>
      <c r="W31" s="21">
        <f>AVERAGE(V31,V32)</f>
        <v>42.689888591819241</v>
      </c>
      <c r="X31" s="20">
        <f>50-W31/2</f>
        <v>28.65505570409038</v>
      </c>
      <c r="Y31" s="52" t="s">
        <v>116</v>
      </c>
      <c r="Z31" s="20">
        <f t="shared" si="10"/>
        <v>41.598715956453638</v>
      </c>
      <c r="AA31" s="52" t="s">
        <v>134</v>
      </c>
      <c r="AB31" s="20">
        <f>50-U31/2</f>
        <v>87.056339747636741</v>
      </c>
      <c r="AC31" s="52" t="s">
        <v>136</v>
      </c>
      <c r="AQ31" s="48" t="s">
        <v>9</v>
      </c>
    </row>
    <row r="32" spans="2:55" x14ac:dyDescent="0.3">
      <c r="D32" s="3" t="s">
        <v>90</v>
      </c>
      <c r="E32" s="3" t="s">
        <v>94</v>
      </c>
      <c r="K32" s="16"/>
      <c r="L32" s="17"/>
      <c r="M32" s="17"/>
      <c r="N32" s="22">
        <v>0</v>
      </c>
      <c r="O32" s="22">
        <v>1353</v>
      </c>
      <c r="P32" s="22">
        <v>541</v>
      </c>
      <c r="Q32" s="22">
        <v>2559</v>
      </c>
      <c r="R32" s="20">
        <f t="shared" si="7"/>
        <v>14.933752526386707</v>
      </c>
      <c r="S32" s="22"/>
      <c r="T32" s="20">
        <f t="shared" si="8"/>
        <v>-75.701774084886594</v>
      </c>
      <c r="U32" s="22"/>
      <c r="V32" s="22">
        <f t="shared" si="9"/>
        <v>39.231978441500118</v>
      </c>
      <c r="W32" s="23"/>
      <c r="X32" s="20"/>
      <c r="AQ32" s="49" t="s">
        <v>11</v>
      </c>
    </row>
    <row r="33" spans="3:43" x14ac:dyDescent="0.3">
      <c r="D33" s="3" t="s">
        <v>92</v>
      </c>
      <c r="E33" s="3" t="s">
        <v>95</v>
      </c>
      <c r="X33" s="20"/>
      <c r="AQ33" s="50" t="s">
        <v>17</v>
      </c>
    </row>
    <row r="34" spans="3:43" x14ac:dyDescent="0.3">
      <c r="X34" s="20"/>
      <c r="AQ34"/>
    </row>
    <row r="35" spans="3:43" x14ac:dyDescent="0.3">
      <c r="J35" s="3" t="s">
        <v>26</v>
      </c>
      <c r="K35" s="30">
        <v>4</v>
      </c>
      <c r="L35" s="31"/>
      <c r="M35" s="31"/>
      <c r="N35" s="31" t="s">
        <v>19</v>
      </c>
      <c r="O35" s="31" t="s">
        <v>20</v>
      </c>
      <c r="P35" s="31" t="s">
        <v>21</v>
      </c>
      <c r="Q35" s="31" t="s">
        <v>22</v>
      </c>
      <c r="R35" s="31"/>
      <c r="S35" s="31"/>
      <c r="T35" s="31"/>
      <c r="U35" s="31"/>
      <c r="V35" s="31"/>
      <c r="W35" s="32"/>
      <c r="X35" s="20"/>
      <c r="Y35" s="52" t="s">
        <v>27</v>
      </c>
      <c r="AQ35" s="48" t="s">
        <v>8</v>
      </c>
    </row>
    <row r="36" spans="3:43" x14ac:dyDescent="0.3">
      <c r="K36" s="33"/>
      <c r="L36" s="34"/>
      <c r="M36" s="34"/>
      <c r="N36" s="34" t="s">
        <v>12</v>
      </c>
      <c r="O36" s="34" t="s">
        <v>13</v>
      </c>
      <c r="P36" s="34" t="s">
        <v>14</v>
      </c>
      <c r="Q36" s="34" t="s">
        <v>15</v>
      </c>
      <c r="R36" s="34" t="s">
        <v>23</v>
      </c>
      <c r="S36" s="34" t="s">
        <v>25</v>
      </c>
      <c r="T36" s="34" t="s">
        <v>24</v>
      </c>
      <c r="U36" s="34" t="s">
        <v>25</v>
      </c>
      <c r="V36" s="34" t="s">
        <v>18</v>
      </c>
      <c r="W36" s="35" t="s">
        <v>25</v>
      </c>
      <c r="X36" s="20"/>
      <c r="AQ36" s="49" t="s">
        <v>10</v>
      </c>
    </row>
    <row r="37" spans="3:43" x14ac:dyDescent="0.3">
      <c r="C37" s="3" t="s">
        <v>23</v>
      </c>
      <c r="D37" s="3" t="s">
        <v>96</v>
      </c>
      <c r="K37" s="33"/>
      <c r="L37" s="34" t="s">
        <v>8</v>
      </c>
      <c r="M37" s="34" t="s">
        <v>9</v>
      </c>
      <c r="N37" s="36">
        <v>4631</v>
      </c>
      <c r="O37" s="36">
        <v>4631</v>
      </c>
      <c r="P37" s="36">
        <v>4742</v>
      </c>
      <c r="Q37" s="36"/>
      <c r="R37" s="36">
        <f>(N37-O37)/(N37+O37)*100</f>
        <v>0</v>
      </c>
      <c r="S37" s="36">
        <f>AVERAGE(R37:R38)</f>
        <v>0</v>
      </c>
      <c r="T37" s="36">
        <f>(P37-Q37)/(P37+Q37)*100</f>
        <v>100</v>
      </c>
      <c r="U37" s="36">
        <f>AVERAGE(T37:T38)</f>
        <v>100</v>
      </c>
      <c r="V37" s="36">
        <f>ABS((N37+O37-P37-Q37)/(N37+O37+P37+Q37)*100)</f>
        <v>32.276492430734081</v>
      </c>
      <c r="W37" s="37">
        <f>AVERAGE(V37,V38)</f>
        <v>32.205153504059602</v>
      </c>
      <c r="X37" s="20"/>
      <c r="AQ37" s="50" t="s">
        <v>16</v>
      </c>
    </row>
    <row r="38" spans="3:43" x14ac:dyDescent="0.3">
      <c r="C38" s="3" t="s">
        <v>24</v>
      </c>
      <c r="D38" s="3" t="s">
        <v>97</v>
      </c>
      <c r="K38" s="33"/>
      <c r="L38" s="34"/>
      <c r="M38" s="34"/>
      <c r="N38" s="36">
        <v>6132</v>
      </c>
      <c r="O38" s="36">
        <v>6132</v>
      </c>
      <c r="P38" s="36">
        <v>6299</v>
      </c>
      <c r="Q38" s="36"/>
      <c r="R38" s="36">
        <f>(N38-O38)/(N38+O38)*100</f>
        <v>0</v>
      </c>
      <c r="S38" s="36"/>
      <c r="T38" s="36">
        <f>(P38-Q38)/(P38+Q38)*100</f>
        <v>100</v>
      </c>
      <c r="U38" s="36"/>
      <c r="V38" s="36">
        <f>ABS((N38+O38-P38-Q38)/(N38+O38+P38+Q38)*100)</f>
        <v>32.133814577385124</v>
      </c>
      <c r="W38" s="37"/>
      <c r="X38" s="20"/>
    </row>
    <row r="39" spans="3:43" x14ac:dyDescent="0.3">
      <c r="C39" s="3" t="s">
        <v>18</v>
      </c>
      <c r="D39" s="3" t="s">
        <v>98</v>
      </c>
      <c r="K39" s="33"/>
      <c r="L39" s="34" t="s">
        <v>10</v>
      </c>
      <c r="M39" s="34" t="s">
        <v>11</v>
      </c>
      <c r="N39" s="36">
        <v>1213</v>
      </c>
      <c r="O39" s="36">
        <v>2119</v>
      </c>
      <c r="P39" s="36">
        <v>13290</v>
      </c>
      <c r="Q39" s="36"/>
      <c r="R39" s="36">
        <f>(N39-O39)/(N39+O39)*100</f>
        <v>-27.190876350540215</v>
      </c>
      <c r="S39" s="36">
        <f>AVERAGE(R39:R40)</f>
        <v>-63.595438175270104</v>
      </c>
      <c r="T39" s="36">
        <f>(P39-Q39)/(P39+Q39)*100</f>
        <v>100</v>
      </c>
      <c r="U39" s="36">
        <f>AVERAGE(T39:T40)</f>
        <v>100</v>
      </c>
      <c r="V39" s="36">
        <f>ABS((N39+O39-P39-Q39)/(N39+O39+P39+Q39)*100)</f>
        <v>59.908554927204904</v>
      </c>
      <c r="W39" s="37">
        <f>AVERAGE(V39,V40)</f>
        <v>66.317343578268122</v>
      </c>
      <c r="X39" s="20"/>
    </row>
    <row r="40" spans="3:43" x14ac:dyDescent="0.3">
      <c r="K40" s="33"/>
      <c r="L40" s="34"/>
      <c r="M40" s="34"/>
      <c r="N40" s="36">
        <v>0</v>
      </c>
      <c r="O40" s="36">
        <v>1087</v>
      </c>
      <c r="P40" s="36">
        <v>6884</v>
      </c>
      <c r="Q40" s="36"/>
      <c r="R40" s="36">
        <f>(N40-O40)/(N40+O40)*100</f>
        <v>-100</v>
      </c>
      <c r="S40" s="36"/>
      <c r="T40" s="36">
        <f>(P40-Q40)/(P40+Q40)*100</f>
        <v>100</v>
      </c>
      <c r="U40" s="36"/>
      <c r="V40" s="36">
        <f>ABS((N40+O40-P40-Q40)/(N40+O40+P40+Q40)*100)</f>
        <v>72.726132229331327</v>
      </c>
      <c r="W40" s="37"/>
      <c r="X40" s="20"/>
    </row>
    <row r="41" spans="3:43" x14ac:dyDescent="0.3">
      <c r="K41"/>
      <c r="L41" t="s">
        <v>16</v>
      </c>
      <c r="M41" t="s">
        <v>17</v>
      </c>
      <c r="N41">
        <v>0</v>
      </c>
      <c r="O41">
        <v>233</v>
      </c>
      <c r="P41">
        <v>4988</v>
      </c>
      <c r="Q41"/>
      <c r="R41" t="s">
        <v>29</v>
      </c>
      <c r="S41" t="s">
        <v>29</v>
      </c>
      <c r="T41" t="s">
        <v>62</v>
      </c>
      <c r="U41" t="s">
        <v>29</v>
      </c>
      <c r="V41" t="s">
        <v>29</v>
      </c>
      <c r="W41" t="s">
        <v>29</v>
      </c>
      <c r="X41" s="20"/>
    </row>
    <row r="42" spans="3:43" x14ac:dyDescent="0.3">
      <c r="K42"/>
      <c r="L42"/>
      <c r="M42"/>
      <c r="N42">
        <v>0</v>
      </c>
      <c r="O42">
        <v>209</v>
      </c>
      <c r="P42">
        <v>4416</v>
      </c>
      <c r="Q42"/>
      <c r="R42" t="s">
        <v>29</v>
      </c>
      <c r="S42"/>
      <c r="T42" t="s">
        <v>62</v>
      </c>
      <c r="U42"/>
      <c r="V42" t="s">
        <v>29</v>
      </c>
      <c r="W42"/>
      <c r="X42" s="20"/>
    </row>
    <row r="43" spans="3:43" x14ac:dyDescent="0.3">
      <c r="X43" s="20"/>
    </row>
    <row r="44" spans="3:43" x14ac:dyDescent="0.3">
      <c r="X44" s="20"/>
    </row>
    <row r="45" spans="3:43" x14ac:dyDescent="0.3">
      <c r="J45" s="3" t="s">
        <v>26</v>
      </c>
      <c r="K45" s="4">
        <v>4</v>
      </c>
      <c r="L45" s="5"/>
      <c r="M45" s="5"/>
      <c r="N45" s="3" t="s">
        <v>87</v>
      </c>
      <c r="O45" s="3" t="s">
        <v>88</v>
      </c>
      <c r="P45" s="3" t="s">
        <v>89</v>
      </c>
      <c r="Q45" s="3" t="s">
        <v>86</v>
      </c>
      <c r="R45" s="5"/>
      <c r="S45" s="5"/>
      <c r="T45" s="5"/>
      <c r="U45" s="5"/>
      <c r="V45" s="5"/>
      <c r="W45" s="6"/>
      <c r="X45" s="20"/>
    </row>
    <row r="46" spans="3:43" x14ac:dyDescent="0.3">
      <c r="K46" s="9"/>
      <c r="N46" s="3" t="s">
        <v>12</v>
      </c>
      <c r="O46" s="3" t="s">
        <v>13</v>
      </c>
      <c r="P46" s="3" t="s">
        <v>14</v>
      </c>
      <c r="Q46" s="3" t="s">
        <v>15</v>
      </c>
      <c r="R46" s="3" t="s">
        <v>23</v>
      </c>
      <c r="S46" s="3" t="s">
        <v>25</v>
      </c>
      <c r="T46" s="3" t="s">
        <v>24</v>
      </c>
      <c r="U46" s="3" t="s">
        <v>25</v>
      </c>
      <c r="V46" s="3" t="s">
        <v>18</v>
      </c>
      <c r="W46" s="10" t="s">
        <v>25</v>
      </c>
      <c r="X46" s="20"/>
      <c r="Y46" s="52" t="s">
        <v>30</v>
      </c>
    </row>
    <row r="47" spans="3:43" ht="12" x14ac:dyDescent="0.25">
      <c r="K47" s="9"/>
      <c r="L47" s="3" t="s">
        <v>8</v>
      </c>
      <c r="M47" s="3" t="s">
        <v>9</v>
      </c>
      <c r="N47" s="20"/>
      <c r="O47" s="20">
        <v>14135</v>
      </c>
      <c r="P47" s="20">
        <v>13897</v>
      </c>
      <c r="Q47" s="20"/>
      <c r="R47" s="20">
        <f>(N47+O47-P47-Q47)/(N47+O47+P47+Q47)*100</f>
        <v>0.8490296803652968</v>
      </c>
      <c r="S47" s="20">
        <f>AVERAGE(R47:R48)</f>
        <v>0.73294247203035456</v>
      </c>
      <c r="T47" s="20">
        <f>(-P47+O47-N47+Q47)/(P47+Q47+O47+N47)*100</f>
        <v>0.8490296803652968</v>
      </c>
      <c r="U47" s="20">
        <f>AVERAGE(T47:T48)</f>
        <v>0.73294247203035456</v>
      </c>
      <c r="V47" s="20">
        <f>ABS((-N47+O47+P47-Q47)/(N47+O47+P47+Q47)*100)</f>
        <v>100</v>
      </c>
      <c r="W47" s="21">
        <f>AVERAGE(V47,V48)</f>
        <v>100</v>
      </c>
      <c r="X47" s="20">
        <f>50-W47/2</f>
        <v>0</v>
      </c>
      <c r="Y47" s="52" t="s">
        <v>110</v>
      </c>
      <c r="Z47" s="20">
        <f>50-R47/2</f>
        <v>49.575485159817354</v>
      </c>
      <c r="AA47" s="52" t="s">
        <v>106</v>
      </c>
      <c r="AB47" s="20">
        <f>50-U47/2</f>
        <v>49.63352876398482</v>
      </c>
      <c r="AC47" s="52" t="s">
        <v>106</v>
      </c>
    </row>
    <row r="48" spans="3:43" x14ac:dyDescent="0.3">
      <c r="K48" s="9"/>
      <c r="N48" s="20"/>
      <c r="O48" s="20">
        <v>12315</v>
      </c>
      <c r="P48" s="20">
        <v>12164</v>
      </c>
      <c r="Q48" s="20"/>
      <c r="R48" s="20">
        <f t="shared" ref="R48:R52" si="11">(N48+O48-P48-Q48)/(N48+O48+P48+Q48)*100</f>
        <v>0.61685526369541244</v>
      </c>
      <c r="S48" s="20"/>
      <c r="T48" s="20">
        <f t="shared" ref="T48:T52" si="12">(-P48+O48-N48+Q48)/(P48+Q48+O48+N48)*100</f>
        <v>0.61685526369541244</v>
      </c>
      <c r="U48" s="20"/>
      <c r="V48" s="20">
        <f t="shared" ref="V48:V52" si="13">ABS((-N48+O48+P48-Q48)/(N48+O48+P48+Q48)*100)</f>
        <v>100</v>
      </c>
      <c r="W48" s="21"/>
      <c r="X48" s="20"/>
    </row>
    <row r="49" spans="9:36" ht="12" x14ac:dyDescent="0.25">
      <c r="K49" s="9"/>
      <c r="L49" s="3" t="s">
        <v>10</v>
      </c>
      <c r="M49" s="3" t="s">
        <v>11</v>
      </c>
      <c r="N49" s="20">
        <v>1224</v>
      </c>
      <c r="O49" s="20">
        <v>2240</v>
      </c>
      <c r="P49" s="20">
        <v>8512</v>
      </c>
      <c r="Q49" s="20">
        <v>7288</v>
      </c>
      <c r="R49" s="20">
        <f>(N49+O49-P49-Q49)/(N49+O49+P49+Q49)*100</f>
        <v>-64.036544850498331</v>
      </c>
      <c r="S49" s="20">
        <f>AVERAGE(R49:R50)</f>
        <v>-62.731525437297357</v>
      </c>
      <c r="T49" s="20">
        <f t="shared" si="12"/>
        <v>-1.0797342192691028</v>
      </c>
      <c r="U49" s="20">
        <f>AVERAGE(T49:T50)</f>
        <v>-1.5066140975863587</v>
      </c>
      <c r="V49" s="20">
        <f>ABS((-N49+O49+P49-Q49)/(N49+O49+P49+Q49)*100)</f>
        <v>11.627906976744185</v>
      </c>
      <c r="W49" s="21">
        <f>AVERAGE(V49,V50)</f>
        <v>11.968170355841973</v>
      </c>
      <c r="X49" s="20">
        <f>50-W49/2</f>
        <v>44.015914822079012</v>
      </c>
      <c r="Y49" s="52" t="s">
        <v>118</v>
      </c>
      <c r="Z49" s="20">
        <f>50-R49/2</f>
        <v>82.018272425249165</v>
      </c>
      <c r="AA49" s="52" t="s">
        <v>123</v>
      </c>
      <c r="AB49" s="20">
        <f>50-U49/2</f>
        <v>50.753307048793182</v>
      </c>
      <c r="AC49" s="52" t="s">
        <v>133</v>
      </c>
    </row>
    <row r="50" spans="9:36" x14ac:dyDescent="0.3">
      <c r="K50" s="9"/>
      <c r="N50" s="20">
        <v>3657</v>
      </c>
      <c r="O50" s="20">
        <v>6348</v>
      </c>
      <c r="P50" s="20">
        <v>22782</v>
      </c>
      <c r="Q50" s="20">
        <v>19088</v>
      </c>
      <c r="R50" s="20">
        <f t="shared" si="11"/>
        <v>-61.426506024096383</v>
      </c>
      <c r="S50" s="20"/>
      <c r="T50" s="20">
        <f t="shared" si="12"/>
        <v>-1.9334939759036145</v>
      </c>
      <c r="U50" s="20"/>
      <c r="V50" s="20">
        <f t="shared" si="13"/>
        <v>12.30843373493976</v>
      </c>
      <c r="W50" s="21"/>
      <c r="X50" s="20"/>
    </row>
    <row r="51" spans="9:36" x14ac:dyDescent="0.3">
      <c r="K51" s="33"/>
      <c r="L51" s="34" t="s">
        <v>16</v>
      </c>
      <c r="M51" s="34" t="s">
        <v>17</v>
      </c>
      <c r="N51" s="36" t="s">
        <v>29</v>
      </c>
      <c r="O51" s="36" t="s">
        <v>29</v>
      </c>
      <c r="P51" s="36" t="s">
        <v>29</v>
      </c>
      <c r="Q51" s="36" t="s">
        <v>29</v>
      </c>
      <c r="R51" s="20" t="e">
        <f t="shared" si="11"/>
        <v>#VALUE!</v>
      </c>
      <c r="S51" s="36" t="e">
        <f>AVERAGE(R51:R52)</f>
        <v>#VALUE!</v>
      </c>
      <c r="T51" s="20" t="e">
        <f t="shared" si="12"/>
        <v>#VALUE!</v>
      </c>
      <c r="U51" s="36" t="e">
        <f>AVERAGE(T51:T52)</f>
        <v>#VALUE!</v>
      </c>
      <c r="V51" s="20" t="e">
        <f t="shared" si="13"/>
        <v>#VALUE!</v>
      </c>
      <c r="W51" s="37" t="e">
        <f>AVERAGE(V51,V52)</f>
        <v>#VALUE!</v>
      </c>
      <c r="X51" s="20"/>
    </row>
    <row r="52" spans="9:36" x14ac:dyDescent="0.3">
      <c r="K52" s="38"/>
      <c r="L52" s="39"/>
      <c r="M52" s="39"/>
      <c r="N52" s="40" t="s">
        <v>29</v>
      </c>
      <c r="O52" s="40" t="s">
        <v>29</v>
      </c>
      <c r="P52" s="40" t="s">
        <v>29</v>
      </c>
      <c r="Q52" s="40" t="s">
        <v>29</v>
      </c>
      <c r="R52" s="20" t="e">
        <f t="shared" si="11"/>
        <v>#VALUE!</v>
      </c>
      <c r="S52" s="40"/>
      <c r="T52" s="20" t="e">
        <f t="shared" si="12"/>
        <v>#VALUE!</v>
      </c>
      <c r="U52" s="40"/>
      <c r="V52" s="20" t="e">
        <f t="shared" si="13"/>
        <v>#VALUE!</v>
      </c>
      <c r="W52" s="41"/>
      <c r="X52" s="20"/>
    </row>
    <row r="53" spans="9:36" x14ac:dyDescent="0.3">
      <c r="X53" s="20"/>
    </row>
    <row r="55" spans="9:36" x14ac:dyDescent="0.3">
      <c r="I55" s="3" t="s">
        <v>31</v>
      </c>
      <c r="K55" s="4">
        <v>5</v>
      </c>
      <c r="L55" s="5"/>
      <c r="M55" s="5"/>
      <c r="N55" s="3" t="s">
        <v>89</v>
      </c>
      <c r="O55" s="3" t="s">
        <v>88</v>
      </c>
      <c r="P55" s="3" t="s">
        <v>87</v>
      </c>
      <c r="Q55" s="3" t="s">
        <v>86</v>
      </c>
      <c r="R55" s="5"/>
      <c r="S55" s="5"/>
      <c r="T55" s="5"/>
      <c r="U55" s="5"/>
      <c r="V55" s="5"/>
      <c r="W55" s="6"/>
    </row>
    <row r="56" spans="9:36" x14ac:dyDescent="0.3">
      <c r="K56" s="9"/>
      <c r="N56" s="3" t="s">
        <v>12</v>
      </c>
      <c r="P56" s="3" t="s">
        <v>14</v>
      </c>
      <c r="R56" s="3" t="s">
        <v>23</v>
      </c>
      <c r="S56" s="3" t="s">
        <v>25</v>
      </c>
      <c r="T56" s="3" t="s">
        <v>24</v>
      </c>
      <c r="U56" s="3" t="s">
        <v>25</v>
      </c>
      <c r="V56" s="3" t="s">
        <v>18</v>
      </c>
      <c r="W56" s="10" t="s">
        <v>25</v>
      </c>
      <c r="AI56" s="3" t="s">
        <v>64</v>
      </c>
      <c r="AJ56" s="3" t="s">
        <v>65</v>
      </c>
    </row>
    <row r="57" spans="9:36" x14ac:dyDescent="0.3">
      <c r="K57" s="9"/>
      <c r="L57" s="3" t="s">
        <v>8</v>
      </c>
      <c r="M57" s="3" t="s">
        <v>9</v>
      </c>
      <c r="N57" s="20">
        <v>2148</v>
      </c>
      <c r="O57" s="20"/>
      <c r="P57" s="20">
        <v>12499</v>
      </c>
      <c r="Q57" s="20"/>
      <c r="R57" s="20">
        <f>(N57+P57-O57-Q57)/(N57+O57+P57+Q57)*100</f>
        <v>100</v>
      </c>
      <c r="S57" s="20">
        <f>AVERAGE(R57:R58)</f>
        <v>100</v>
      </c>
      <c r="T57" s="20">
        <f>(P57+O57-N57-Q57)/(P57+Q57+O57+N57)*100</f>
        <v>70.669761725950707</v>
      </c>
      <c r="U57" s="20">
        <f>AVERAGE(T57:T58)</f>
        <v>70.905427398534471</v>
      </c>
      <c r="V57" s="20">
        <f t="shared" ref="V57:V62" si="14">ABS((N57+O57-P57-Q57)/(N57+O57+P57+Q57)*100)</f>
        <v>70.669761725950707</v>
      </c>
      <c r="W57" s="21">
        <f>AVERAGE(V57,V58)</f>
        <v>70.905427398534471</v>
      </c>
      <c r="X57" s="20">
        <f>50-W57/2</f>
        <v>14.547286300732765</v>
      </c>
      <c r="Y57" s="52" t="s">
        <v>112</v>
      </c>
      <c r="Z57" s="20">
        <f>50-R57/2</f>
        <v>0</v>
      </c>
      <c r="AA57" s="52" t="s">
        <v>115</v>
      </c>
      <c r="AI57" s="3">
        <f>STDEV(V57:V58)</f>
        <v>0.33328159035372601</v>
      </c>
      <c r="AJ57" s="3">
        <f>STDEV(R57:R58)</f>
        <v>0</v>
      </c>
    </row>
    <row r="58" spans="9:36" x14ac:dyDescent="0.3">
      <c r="K58" s="9"/>
      <c r="N58" s="20">
        <v>1262</v>
      </c>
      <c r="O58" s="20"/>
      <c r="P58" s="20">
        <v>7484</v>
      </c>
      <c r="Q58" s="20"/>
      <c r="R58" s="20">
        <f t="shared" ref="R58:R62" si="15">(N58+P58-O58-Q58)/(N58+O58+P58+Q58)*100</f>
        <v>100</v>
      </c>
      <c r="S58" s="20"/>
      <c r="T58" s="20">
        <f t="shared" ref="T58:T62" si="16">(P58+O58-N58-Q58)/(P58+Q58+O58+N58)*100</f>
        <v>71.14109307111822</v>
      </c>
      <c r="U58" s="20"/>
      <c r="V58" s="20">
        <f>ABS((N58+O58-P58-Q58)/(N58+O58+P58+Q58)*100)</f>
        <v>71.14109307111822</v>
      </c>
      <c r="W58" s="21"/>
      <c r="AI58" s="3">
        <f>STDEV(V59:V60)</f>
        <v>0.86715734875506423</v>
      </c>
      <c r="AJ58" s="3">
        <f>STDEV(R59:R60)</f>
        <v>0</v>
      </c>
    </row>
    <row r="59" spans="9:36" x14ac:dyDescent="0.3">
      <c r="K59" s="9"/>
      <c r="L59" s="3" t="s">
        <v>10</v>
      </c>
      <c r="M59" s="3" t="s">
        <v>11</v>
      </c>
      <c r="N59" s="20">
        <v>11879</v>
      </c>
      <c r="O59" s="20"/>
      <c r="P59" s="20">
        <v>9966</v>
      </c>
      <c r="Q59" s="20"/>
      <c r="R59" s="20">
        <f t="shared" si="15"/>
        <v>100</v>
      </c>
      <c r="S59" s="20">
        <f>AVERAGE(R59:R60)</f>
        <v>100</v>
      </c>
      <c r="T59" s="20">
        <f t="shared" si="16"/>
        <v>-8.7571526665140755</v>
      </c>
      <c r="U59" s="20">
        <f>AVERAGE(T59:T60)</f>
        <v>-9.3703255081745294</v>
      </c>
      <c r="V59" s="20">
        <f t="shared" si="14"/>
        <v>8.7571526665140755</v>
      </c>
      <c r="W59" s="21">
        <f>AVERAGE(V59,V60)</f>
        <v>9.3703255081745294</v>
      </c>
      <c r="X59" s="20">
        <f>50-W59/2</f>
        <v>45.314837245912734</v>
      </c>
      <c r="Y59" s="52" t="s">
        <v>104</v>
      </c>
      <c r="Z59" s="20">
        <f>50-R59/2</f>
        <v>0</v>
      </c>
      <c r="AA59" s="52" t="s">
        <v>115</v>
      </c>
      <c r="AI59" s="3">
        <v>0</v>
      </c>
      <c r="AJ59" s="3" t="e">
        <f>STDEV(R67:R68)</f>
        <v>#REF!</v>
      </c>
    </row>
    <row r="60" spans="9:36" x14ac:dyDescent="0.3">
      <c r="K60" s="9"/>
      <c r="N60" s="20">
        <v>7998</v>
      </c>
      <c r="O60" s="20"/>
      <c r="P60" s="20">
        <v>6546</v>
      </c>
      <c r="Q60" s="20"/>
      <c r="R60" s="20">
        <f t="shared" si="15"/>
        <v>100</v>
      </c>
      <c r="S60" s="20"/>
      <c r="T60" s="20">
        <f t="shared" si="16"/>
        <v>-9.9834983498349832</v>
      </c>
      <c r="U60" s="20"/>
      <c r="V60" s="20">
        <f t="shared" si="14"/>
        <v>9.9834983498349832</v>
      </c>
      <c r="W60" s="21"/>
      <c r="AI60" s="3">
        <v>0</v>
      </c>
      <c r="AJ60" s="3" t="e">
        <f>STDEV(R68:R69)</f>
        <v>#REF!</v>
      </c>
    </row>
    <row r="61" spans="9:36" x14ac:dyDescent="0.3">
      <c r="K61" s="9"/>
      <c r="L61" s="3" t="s">
        <v>16</v>
      </c>
      <c r="M61" s="3" t="s">
        <v>17</v>
      </c>
      <c r="N61" s="20" t="s">
        <v>29</v>
      </c>
      <c r="O61" s="20"/>
      <c r="P61" s="20" t="s">
        <v>29</v>
      </c>
      <c r="Q61" s="20"/>
      <c r="R61" s="20" t="e">
        <f t="shared" si="15"/>
        <v>#VALUE!</v>
      </c>
      <c r="S61" s="20" t="e">
        <f>AVERAGE(R61:R62)</f>
        <v>#VALUE!</v>
      </c>
      <c r="T61" s="20" t="e">
        <f t="shared" si="16"/>
        <v>#VALUE!</v>
      </c>
      <c r="U61" s="20" t="e">
        <f>AVERAGE(T61:T62)</f>
        <v>#VALUE!</v>
      </c>
      <c r="V61" s="20" t="e">
        <f t="shared" si="14"/>
        <v>#VALUE!</v>
      </c>
      <c r="W61" s="21" t="e">
        <f>AVERAGE(V61,V62)</f>
        <v>#VALUE!</v>
      </c>
    </row>
    <row r="62" spans="9:36" x14ac:dyDescent="0.3">
      <c r="K62" s="16"/>
      <c r="L62" s="17"/>
      <c r="M62" s="17"/>
      <c r="N62" s="22" t="s">
        <v>29</v>
      </c>
      <c r="O62" s="22"/>
      <c r="P62" s="22" t="s">
        <v>29</v>
      </c>
      <c r="Q62" s="22"/>
      <c r="R62" s="20" t="e">
        <f t="shared" si="15"/>
        <v>#VALUE!</v>
      </c>
      <c r="S62" s="22"/>
      <c r="T62" s="20" t="e">
        <f t="shared" si="16"/>
        <v>#VALUE!</v>
      </c>
      <c r="U62" s="22"/>
      <c r="V62" s="22" t="e">
        <f t="shared" si="14"/>
        <v>#VALUE!</v>
      </c>
      <c r="W62" s="23"/>
    </row>
    <row r="65" spans="9:27" x14ac:dyDescent="0.3">
      <c r="I65" s="3" t="s">
        <v>31</v>
      </c>
      <c r="K65" s="4">
        <v>6</v>
      </c>
      <c r="L65" s="5"/>
      <c r="M65" s="5"/>
      <c r="N65" s="3" t="s">
        <v>87</v>
      </c>
      <c r="O65" s="3" t="s">
        <v>88</v>
      </c>
      <c r="P65" s="3" t="s">
        <v>89</v>
      </c>
      <c r="Q65" s="3" t="s">
        <v>86</v>
      </c>
      <c r="R65" s="5"/>
      <c r="S65" s="5"/>
      <c r="T65" s="5"/>
      <c r="U65" s="5"/>
      <c r="V65" s="5"/>
      <c r="W65" s="6"/>
    </row>
    <row r="66" spans="9:27" x14ac:dyDescent="0.3">
      <c r="K66" s="9"/>
      <c r="N66" s="3" t="s">
        <v>12</v>
      </c>
      <c r="P66" s="3" t="s">
        <v>14</v>
      </c>
      <c r="R66" s="3" t="s">
        <v>23</v>
      </c>
      <c r="S66" s="3" t="s">
        <v>25</v>
      </c>
      <c r="T66" s="3" t="s">
        <v>24</v>
      </c>
      <c r="U66" s="3" t="s">
        <v>25</v>
      </c>
      <c r="V66" s="3" t="s">
        <v>18</v>
      </c>
      <c r="W66" s="10" t="s">
        <v>25</v>
      </c>
    </row>
    <row r="67" spans="9:27" x14ac:dyDescent="0.3">
      <c r="K67" s="9"/>
      <c r="L67" s="3" t="s">
        <v>8</v>
      </c>
      <c r="M67" s="3" t="s">
        <v>9</v>
      </c>
      <c r="O67" s="20">
        <v>9015</v>
      </c>
      <c r="P67" s="20"/>
      <c r="Q67" s="20"/>
      <c r="R67" s="20" t="e">
        <f>(O67-P67-#REF!+Q67)/(O67+#REF!+P67+Q67)*100</f>
        <v>#REF!</v>
      </c>
      <c r="S67" s="20" t="e">
        <f>AVERAGE(R67:R68)</f>
        <v>#REF!</v>
      </c>
      <c r="T67" s="20" t="e">
        <f>(P67-#REF!+O67-Q67)/(P67+Q67+#REF!+O67)*100</f>
        <v>#REF!</v>
      </c>
      <c r="U67" s="20" t="e">
        <f>AVERAGE(T67:T68)</f>
        <v>#REF!</v>
      </c>
      <c r="V67" s="20" t="e">
        <f>ABS((O67+#REF!-P67-Q67)/(O67+#REF!+P67+Q67)*100)</f>
        <v>#REF!</v>
      </c>
      <c r="W67" s="21" t="e">
        <f>AVERAGE(V67,V68)</f>
        <v>#REF!</v>
      </c>
      <c r="X67" s="20" t="e">
        <f>50-W67/2</f>
        <v>#REF!</v>
      </c>
      <c r="Y67" s="52" t="s">
        <v>110</v>
      </c>
      <c r="Z67" s="20" t="e">
        <f>50-R67/2</f>
        <v>#REF!</v>
      </c>
      <c r="AA67" s="52" t="s">
        <v>115</v>
      </c>
    </row>
    <row r="68" spans="9:27" x14ac:dyDescent="0.3">
      <c r="K68" s="9"/>
      <c r="O68" s="20">
        <v>16715</v>
      </c>
      <c r="P68" s="20"/>
      <c r="Q68" s="20"/>
      <c r="R68" s="20" t="e">
        <f>(O68-P68-#REF!+Q68)/(O68+#REF!+P68+Q68)*100</f>
        <v>#REF!</v>
      </c>
      <c r="S68" s="20"/>
      <c r="T68" s="20" t="e">
        <f>(P68-#REF!+O68-Q68)/(P68+Q68+#REF!+O68)*100</f>
        <v>#REF!</v>
      </c>
      <c r="U68" s="20"/>
      <c r="V68" s="20" t="e">
        <f>ABS((O68+#REF!-P68-Q68)/(O68+#REF!+P68+Q68)*100)</f>
        <v>#REF!</v>
      </c>
      <c r="W68" s="21"/>
    </row>
    <row r="69" spans="9:27" x14ac:dyDescent="0.3">
      <c r="K69" s="9"/>
      <c r="L69" s="3" t="s">
        <v>10</v>
      </c>
      <c r="M69" s="3" t="s">
        <v>11</v>
      </c>
      <c r="O69" s="20">
        <v>22763</v>
      </c>
      <c r="P69" s="20"/>
      <c r="Q69" s="20"/>
      <c r="R69" s="20" t="e">
        <f>(O69-P69-#REF!+Q69)/(O69+#REF!+P69+Q69)*100</f>
        <v>#REF!</v>
      </c>
      <c r="S69" s="20" t="e">
        <f>AVERAGE(R69:R70)</f>
        <v>#REF!</v>
      </c>
      <c r="T69" s="20" t="e">
        <f>(P69-#REF!+O69-Q69)/(P69+Q69+#REF!+O69)*100</f>
        <v>#REF!</v>
      </c>
      <c r="U69" s="20" t="e">
        <f>AVERAGE(T69:T70)</f>
        <v>#REF!</v>
      </c>
      <c r="V69" s="20" t="e">
        <f>ABS((O69+#REF!-P69-Q69)/(O69+#REF!+P69+Q69)*100)</f>
        <v>#REF!</v>
      </c>
      <c r="W69" s="21" t="e">
        <f>AVERAGE(V69,V70)</f>
        <v>#REF!</v>
      </c>
      <c r="X69" s="20" t="e">
        <f>50-W69/2</f>
        <v>#REF!</v>
      </c>
      <c r="Y69" s="52" t="s">
        <v>110</v>
      </c>
      <c r="Z69" s="20" t="e">
        <f>50-R69/2</f>
        <v>#REF!</v>
      </c>
      <c r="AA69" s="52" t="s">
        <v>115</v>
      </c>
    </row>
    <row r="70" spans="9:27" x14ac:dyDescent="0.3">
      <c r="K70" s="9"/>
      <c r="O70" s="20">
        <v>19352</v>
      </c>
      <c r="P70" s="20"/>
      <c r="Q70" s="20"/>
      <c r="R70" s="20" t="e">
        <f>(O70-P70-#REF!+Q70)/(O70+#REF!+P70+Q70)*100</f>
        <v>#REF!</v>
      </c>
      <c r="S70" s="20"/>
      <c r="T70" s="20" t="e">
        <f>(P70-#REF!+O70-Q70)/(P70+Q70+#REF!+O70)*100</f>
        <v>#REF!</v>
      </c>
      <c r="U70" s="20"/>
      <c r="V70" s="20" t="e">
        <f>ABS((O70+#REF!-P70-Q70)/(O70+#REF!+P70+Q70)*100)</f>
        <v>#REF!</v>
      </c>
      <c r="W70" s="21"/>
    </row>
    <row r="71" spans="9:27" x14ac:dyDescent="0.3">
      <c r="K71" s="9"/>
      <c r="L71" s="3" t="s">
        <v>16</v>
      </c>
      <c r="M71" s="3" t="s">
        <v>17</v>
      </c>
      <c r="N71" s="20" t="s">
        <v>29</v>
      </c>
      <c r="O71" s="20"/>
      <c r="P71" s="20" t="s">
        <v>29</v>
      </c>
      <c r="Q71" s="20"/>
      <c r="R71" s="20" t="e">
        <f t="shared" ref="R71:R72" si="17">(N71-P71-O71+Q71)/(N71+O71+P71+Q71)*100</f>
        <v>#VALUE!</v>
      </c>
      <c r="S71" s="20" t="e">
        <f>AVERAGE(R71:R72)</f>
        <v>#VALUE!</v>
      </c>
      <c r="T71" s="20" t="e">
        <f t="shared" ref="T71:T72" si="18">(P71-O71+N71-Q71)/(P71+Q71+O71+N71)*100</f>
        <v>#VALUE!</v>
      </c>
      <c r="U71" s="20" t="e">
        <f>AVERAGE(T71:T72)</f>
        <v>#VALUE!</v>
      </c>
      <c r="V71" s="20" t="e">
        <f t="shared" ref="V71:V72" si="19">ABS((N71+O71-P71-Q71)/(N71+O71+P71+Q71)*100)</f>
        <v>#VALUE!</v>
      </c>
      <c r="W71" s="21" t="e">
        <f>AVERAGE(V71,V72)</f>
        <v>#VALUE!</v>
      </c>
    </row>
    <row r="72" spans="9:27" x14ac:dyDescent="0.3">
      <c r="K72" s="16"/>
      <c r="L72" s="17"/>
      <c r="M72" s="17"/>
      <c r="N72" s="22" t="s">
        <v>29</v>
      </c>
      <c r="O72" s="22"/>
      <c r="P72" s="22" t="s">
        <v>29</v>
      </c>
      <c r="Q72" s="22"/>
      <c r="R72" s="20" t="e">
        <f t="shared" si="17"/>
        <v>#VALUE!</v>
      </c>
      <c r="S72" s="22"/>
      <c r="T72" s="20" t="e">
        <f t="shared" si="18"/>
        <v>#VALUE!</v>
      </c>
      <c r="U72" s="22"/>
      <c r="V72" s="22" t="e">
        <f t="shared" si="19"/>
        <v>#VALUE!</v>
      </c>
      <c r="W72" s="23"/>
    </row>
    <row r="75" spans="9:27" x14ac:dyDescent="0.3">
      <c r="I75" s="3" t="s">
        <v>45</v>
      </c>
      <c r="K75" s="4"/>
      <c r="L75" s="5"/>
      <c r="M75" s="5"/>
      <c r="N75" s="5" t="s">
        <v>46</v>
      </c>
      <c r="O75" s="5"/>
      <c r="P75" s="5" t="s">
        <v>47</v>
      </c>
      <c r="Q75" s="5"/>
      <c r="R75" s="5"/>
      <c r="S75" s="5"/>
      <c r="T75" s="5"/>
      <c r="U75" s="5"/>
      <c r="V75" s="5"/>
      <c r="W75" s="6"/>
    </row>
    <row r="76" spans="9:27" x14ac:dyDescent="0.3">
      <c r="K76" s="9"/>
      <c r="N76" s="3" t="s">
        <v>12</v>
      </c>
      <c r="P76" s="3" t="s">
        <v>14</v>
      </c>
      <c r="R76" s="3" t="s">
        <v>23</v>
      </c>
      <c r="S76" s="3" t="s">
        <v>25</v>
      </c>
      <c r="W76" s="10"/>
    </row>
    <row r="77" spans="9:27" x14ac:dyDescent="0.3">
      <c r="K77" s="9"/>
      <c r="L77" s="3" t="s">
        <v>8</v>
      </c>
      <c r="M77" s="3" t="s">
        <v>9</v>
      </c>
      <c r="N77" s="20"/>
      <c r="O77" s="20"/>
      <c r="P77" s="20"/>
      <c r="Q77" s="20"/>
      <c r="R77" s="20" t="e">
        <f t="shared" ref="R77:R82" si="20">(N77-O77)/(N77+O77)*100</f>
        <v>#DIV/0!</v>
      </c>
      <c r="S77" s="20" t="e">
        <f>AVERAGE(R77:R78)</f>
        <v>#DIV/0!</v>
      </c>
      <c r="T77" s="20"/>
      <c r="U77" s="20"/>
      <c r="V77" s="20"/>
      <c r="W77" s="21"/>
    </row>
    <row r="78" spans="9:27" x14ac:dyDescent="0.3">
      <c r="K78" s="9"/>
      <c r="N78" s="20"/>
      <c r="O78" s="20"/>
      <c r="P78" s="20"/>
      <c r="Q78" s="20"/>
      <c r="R78" s="20" t="e">
        <f t="shared" si="20"/>
        <v>#DIV/0!</v>
      </c>
      <c r="S78" s="20"/>
      <c r="T78" s="20"/>
      <c r="U78" s="20"/>
      <c r="V78" s="20"/>
      <c r="W78" s="21"/>
    </row>
    <row r="79" spans="9:27" x14ac:dyDescent="0.3">
      <c r="K79" s="9"/>
      <c r="L79" s="3" t="s">
        <v>10</v>
      </c>
      <c r="M79" s="3" t="s">
        <v>11</v>
      </c>
      <c r="N79" s="20">
        <v>681</v>
      </c>
      <c r="O79" s="20">
        <v>12768</v>
      </c>
      <c r="P79" s="20"/>
      <c r="Q79" s="20"/>
      <c r="R79" s="20">
        <f t="shared" si="20"/>
        <v>-89.87285300022306</v>
      </c>
      <c r="S79" s="20">
        <f>AVERAGE(R79:R80)</f>
        <v>-89.391331414440288</v>
      </c>
      <c r="T79" s="20"/>
      <c r="U79" s="20"/>
      <c r="V79" s="20"/>
      <c r="W79" s="21"/>
    </row>
    <row r="80" spans="9:27" x14ac:dyDescent="0.3">
      <c r="K80" s="9"/>
      <c r="N80" s="20">
        <v>589</v>
      </c>
      <c r="O80" s="20">
        <v>10033</v>
      </c>
      <c r="P80" s="20"/>
      <c r="Q80" s="20"/>
      <c r="R80" s="20">
        <f t="shared" si="20"/>
        <v>-88.909809828657501</v>
      </c>
      <c r="S80" s="20"/>
      <c r="T80" s="20"/>
      <c r="U80" s="20"/>
      <c r="V80" s="20"/>
      <c r="W80" s="21"/>
    </row>
    <row r="81" spans="11:23" x14ac:dyDescent="0.3">
      <c r="K81" s="9"/>
      <c r="L81" s="3" t="s">
        <v>16</v>
      </c>
      <c r="M81" s="3" t="s">
        <v>17</v>
      </c>
      <c r="N81" s="20"/>
      <c r="O81" s="20"/>
      <c r="P81" s="20"/>
      <c r="Q81" s="20"/>
      <c r="R81" s="20" t="e">
        <f t="shared" si="20"/>
        <v>#DIV/0!</v>
      </c>
      <c r="S81" s="20" t="e">
        <f>AVERAGE(R81:R82)</f>
        <v>#DIV/0!</v>
      </c>
      <c r="T81" s="20"/>
      <c r="U81" s="20"/>
      <c r="V81" s="20"/>
      <c r="W81" s="21"/>
    </row>
    <row r="82" spans="11:23" x14ac:dyDescent="0.3">
      <c r="K82" s="16"/>
      <c r="L82" s="17"/>
      <c r="M82" s="17"/>
      <c r="N82" s="22"/>
      <c r="O82" s="22"/>
      <c r="P82" s="22"/>
      <c r="Q82" s="22"/>
      <c r="R82" s="22" t="e">
        <f t="shared" si="20"/>
        <v>#DIV/0!</v>
      </c>
      <c r="S82" s="22"/>
      <c r="T82" s="22"/>
      <c r="U82" s="22"/>
      <c r="V82" s="22"/>
      <c r="W82" s="23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7" r:id="rId4">
          <objectPr defaultSize="0" r:id="rId5">
            <anchor moveWithCells="1">
              <from>
                <xdr:col>36</xdr:col>
                <xdr:colOff>160020</xdr:colOff>
                <xdr:row>30</xdr:row>
                <xdr:rowOff>45720</xdr:rowOff>
              </from>
              <to>
                <xdr:col>37</xdr:col>
                <xdr:colOff>411480</xdr:colOff>
                <xdr:row>35</xdr:row>
                <xdr:rowOff>76200</xdr:rowOff>
              </to>
            </anchor>
          </objectPr>
        </oleObject>
      </mc:Choice>
      <mc:Fallback>
        <oleObject progId="ChemDraw.Document.6.0" shapeId="1027" r:id="rId4"/>
      </mc:Fallback>
    </mc:AlternateContent>
  </oleObjects>
  <tableParts count="5"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BEAC-62C5-45D3-BF2F-E5B543A44DA0}">
  <dimension ref="B8:P29"/>
  <sheetViews>
    <sheetView zoomScale="55" zoomScaleNormal="55" workbookViewId="0">
      <selection activeCell="E27" sqref="E27"/>
    </sheetView>
  </sheetViews>
  <sheetFormatPr defaultRowHeight="14.4" x14ac:dyDescent="0.3"/>
  <cols>
    <col min="4" max="5" width="15.6640625" bestFit="1" customWidth="1"/>
    <col min="6" max="6" width="15.33203125" bestFit="1" customWidth="1"/>
    <col min="7" max="7" width="10" bestFit="1" customWidth="1"/>
    <col min="16" max="16" width="15.6640625" bestFit="1" customWidth="1"/>
  </cols>
  <sheetData>
    <row r="8" spans="4:16" x14ac:dyDescent="0.3">
      <c r="D8" s="4">
        <v>1</v>
      </c>
      <c r="E8" s="5"/>
      <c r="F8" s="5" t="s">
        <v>19</v>
      </c>
      <c r="G8" s="5" t="s">
        <v>20</v>
      </c>
      <c r="H8" s="5" t="s">
        <v>21</v>
      </c>
      <c r="I8" s="5" t="s">
        <v>22</v>
      </c>
      <c r="J8" s="5"/>
      <c r="K8" s="5"/>
      <c r="L8" s="5"/>
      <c r="M8" s="5"/>
      <c r="N8" s="5"/>
      <c r="O8" s="6"/>
      <c r="P8" s="5"/>
    </row>
    <row r="9" spans="4:16" x14ac:dyDescent="0.3">
      <c r="D9" s="9"/>
      <c r="E9" s="3"/>
      <c r="F9" s="3" t="s">
        <v>12</v>
      </c>
      <c r="G9" s="3" t="s">
        <v>13</v>
      </c>
      <c r="H9" s="3" t="s">
        <v>14</v>
      </c>
      <c r="I9" s="3" t="s">
        <v>15</v>
      </c>
      <c r="J9" s="3" t="s">
        <v>23</v>
      </c>
      <c r="K9" s="3" t="s">
        <v>25</v>
      </c>
      <c r="L9" s="3" t="s">
        <v>24</v>
      </c>
      <c r="M9" s="3" t="s">
        <v>25</v>
      </c>
      <c r="N9" s="3" t="s">
        <v>18</v>
      </c>
      <c r="O9" s="10" t="s">
        <v>25</v>
      </c>
      <c r="P9" s="3"/>
    </row>
    <row r="10" spans="4:16" x14ac:dyDescent="0.3">
      <c r="D10" s="9"/>
      <c r="E10" s="3" t="s">
        <v>9</v>
      </c>
      <c r="F10" s="3"/>
      <c r="G10" s="3"/>
      <c r="H10" s="3"/>
      <c r="I10" s="3"/>
      <c r="J10" s="3" t="e">
        <f t="shared" ref="J10:J15" si="0">(F10-G10)/(F10+G10)*100</f>
        <v>#DIV/0!</v>
      </c>
      <c r="K10" s="3" t="e">
        <f>AVERAGE(J10:J11)</f>
        <v>#DIV/0!</v>
      </c>
      <c r="L10" s="3" t="e">
        <f t="shared" ref="L10:L15" si="1">(H10-I10)/(H10+I10)*100</f>
        <v>#DIV/0!</v>
      </c>
      <c r="M10" s="3" t="e">
        <f>AVERAGE(L10:L11)</f>
        <v>#DIV/0!</v>
      </c>
      <c r="N10" s="14" t="e">
        <f t="shared" ref="N10:N15" si="2">ABS((F10+G10-H10-I10)/(F10+G10+H10+I10)*100)</f>
        <v>#DIV/0!</v>
      </c>
      <c r="O10" s="15" t="e">
        <f>AVERAGE(N10,N11)</f>
        <v>#DIV/0!</v>
      </c>
      <c r="P10" s="3" t="s">
        <v>9</v>
      </c>
    </row>
    <row r="11" spans="4:16" x14ac:dyDescent="0.3">
      <c r="D11" s="9"/>
      <c r="E11" s="3"/>
      <c r="F11" s="3"/>
      <c r="G11" s="3"/>
      <c r="H11" s="3"/>
      <c r="I11" s="3"/>
      <c r="J11" s="3" t="e">
        <f t="shared" si="0"/>
        <v>#DIV/0!</v>
      </c>
      <c r="K11" s="3"/>
      <c r="L11" s="3" t="e">
        <f t="shared" si="1"/>
        <v>#DIV/0!</v>
      </c>
      <c r="M11" s="3"/>
      <c r="N11" s="14" t="e">
        <f t="shared" si="2"/>
        <v>#DIV/0!</v>
      </c>
      <c r="O11" s="15"/>
      <c r="P11" s="3"/>
    </row>
    <row r="12" spans="4:16" x14ac:dyDescent="0.3">
      <c r="D12" s="9"/>
      <c r="E12" s="3" t="s">
        <v>11</v>
      </c>
      <c r="F12" s="3"/>
      <c r="G12" s="3"/>
      <c r="H12" s="3"/>
      <c r="I12" s="3"/>
      <c r="J12" s="3" t="e">
        <f t="shared" si="0"/>
        <v>#DIV/0!</v>
      </c>
      <c r="K12" s="3" t="e">
        <f t="shared" ref="K12:M14" si="3">AVERAGE(J12:J13)</f>
        <v>#DIV/0!</v>
      </c>
      <c r="L12" s="3" t="e">
        <f t="shared" si="1"/>
        <v>#DIV/0!</v>
      </c>
      <c r="M12" s="3" t="e">
        <f t="shared" si="3"/>
        <v>#DIV/0!</v>
      </c>
      <c r="N12" s="14" t="e">
        <f t="shared" si="2"/>
        <v>#DIV/0!</v>
      </c>
      <c r="O12" s="15" t="e">
        <f>AVERAGE(N12,N13)</f>
        <v>#DIV/0!</v>
      </c>
      <c r="P12" s="3" t="s">
        <v>11</v>
      </c>
    </row>
    <row r="13" spans="4:16" x14ac:dyDescent="0.3">
      <c r="D13" s="9"/>
      <c r="E13" s="3"/>
      <c r="F13" s="3"/>
      <c r="G13" s="3"/>
      <c r="H13" s="3"/>
      <c r="I13" s="3"/>
      <c r="J13" s="3" t="e">
        <f t="shared" si="0"/>
        <v>#DIV/0!</v>
      </c>
      <c r="K13" s="3"/>
      <c r="L13" s="3" t="e">
        <f t="shared" si="1"/>
        <v>#DIV/0!</v>
      </c>
      <c r="M13" s="3"/>
      <c r="N13" s="14" t="e">
        <f t="shared" si="2"/>
        <v>#DIV/0!</v>
      </c>
      <c r="O13" s="15"/>
      <c r="P13" s="3"/>
    </row>
    <row r="14" spans="4:16" x14ac:dyDescent="0.3">
      <c r="D14" s="9"/>
      <c r="E14" s="3" t="s">
        <v>17</v>
      </c>
      <c r="F14" s="3"/>
      <c r="G14" s="3"/>
      <c r="H14" s="3"/>
      <c r="I14" s="3"/>
      <c r="J14" s="3" t="e">
        <f t="shared" si="0"/>
        <v>#DIV/0!</v>
      </c>
      <c r="K14" s="3" t="e">
        <f t="shared" si="3"/>
        <v>#DIV/0!</v>
      </c>
      <c r="L14" s="3" t="e">
        <f t="shared" si="1"/>
        <v>#DIV/0!</v>
      </c>
      <c r="M14" s="3" t="e">
        <f t="shared" si="3"/>
        <v>#DIV/0!</v>
      </c>
      <c r="N14" s="14" t="e">
        <f t="shared" si="2"/>
        <v>#DIV/0!</v>
      </c>
      <c r="O14" s="15" t="e">
        <f>AVERAGE(N14,N15)</f>
        <v>#DIV/0!</v>
      </c>
      <c r="P14" s="3" t="s">
        <v>17</v>
      </c>
    </row>
    <row r="15" spans="4:16" x14ac:dyDescent="0.3">
      <c r="D15" s="16"/>
      <c r="E15" s="17"/>
      <c r="F15" s="17"/>
      <c r="G15" s="17"/>
      <c r="H15" s="17"/>
      <c r="I15" s="17"/>
      <c r="J15" s="17" t="e">
        <f t="shared" si="0"/>
        <v>#DIV/0!</v>
      </c>
      <c r="K15" s="17"/>
      <c r="L15" s="17" t="e">
        <f t="shared" si="1"/>
        <v>#DIV/0!</v>
      </c>
      <c r="M15" s="17"/>
      <c r="N15" s="18" t="e">
        <f t="shared" si="2"/>
        <v>#DIV/0!</v>
      </c>
      <c r="O15" s="19"/>
      <c r="P15" s="17"/>
    </row>
    <row r="18" spans="2:15" x14ac:dyDescent="0.3">
      <c r="D18" t="s">
        <v>9</v>
      </c>
    </row>
    <row r="20" spans="2:15" x14ac:dyDescent="0.3">
      <c r="D20" s="1" t="s">
        <v>75</v>
      </c>
      <c r="E20" s="1" t="s">
        <v>67</v>
      </c>
      <c r="F20" s="1" t="s">
        <v>66</v>
      </c>
      <c r="G20" s="1" t="s">
        <v>34</v>
      </c>
      <c r="H20" s="1" t="s">
        <v>77</v>
      </c>
      <c r="I20" s="1" t="s">
        <v>36</v>
      </c>
      <c r="J20" s="1" t="s">
        <v>63</v>
      </c>
      <c r="L20" t="s">
        <v>79</v>
      </c>
      <c r="M20" t="s">
        <v>80</v>
      </c>
      <c r="O20" s="1" t="s">
        <v>68</v>
      </c>
    </row>
    <row r="21" spans="2:15" x14ac:dyDescent="0.3">
      <c r="B21" t="s">
        <v>71</v>
      </c>
      <c r="C21" t="s">
        <v>28</v>
      </c>
      <c r="D21" s="2" t="s">
        <v>142</v>
      </c>
      <c r="E21" s="1" t="s">
        <v>70</v>
      </c>
      <c r="F21" s="1" t="s">
        <v>76</v>
      </c>
      <c r="G21" s="1">
        <v>3</v>
      </c>
      <c r="H21" s="1">
        <v>99</v>
      </c>
      <c r="I21" s="1">
        <v>99</v>
      </c>
      <c r="J21" s="1"/>
      <c r="L21">
        <v>0.65</v>
      </c>
      <c r="M21">
        <v>0</v>
      </c>
      <c r="O21" s="1" t="s">
        <v>72</v>
      </c>
    </row>
    <row r="22" spans="2:15" x14ac:dyDescent="0.3">
      <c r="B22" t="s">
        <v>71</v>
      </c>
      <c r="C22" t="s">
        <v>28</v>
      </c>
      <c r="D22" s="2" t="s">
        <v>142</v>
      </c>
      <c r="E22" s="1" t="s">
        <v>70</v>
      </c>
      <c r="F22" s="1" t="s">
        <v>57</v>
      </c>
      <c r="G22" s="1">
        <v>32</v>
      </c>
      <c r="H22" s="1">
        <v>99</v>
      </c>
      <c r="I22" s="1">
        <v>99</v>
      </c>
      <c r="J22" s="1">
        <v>99</v>
      </c>
      <c r="L22">
        <v>3.43</v>
      </c>
      <c r="M22">
        <v>0</v>
      </c>
      <c r="O22" s="1" t="s">
        <v>72</v>
      </c>
    </row>
    <row r="23" spans="2:15" x14ac:dyDescent="0.3">
      <c r="B23" t="s">
        <v>71</v>
      </c>
      <c r="C23" t="s">
        <v>28</v>
      </c>
      <c r="D23" s="2" t="s">
        <v>138</v>
      </c>
      <c r="E23" s="1" t="s">
        <v>70</v>
      </c>
      <c r="F23" s="1" t="s">
        <v>76</v>
      </c>
      <c r="G23" s="1">
        <v>4</v>
      </c>
      <c r="H23" s="1">
        <v>99</v>
      </c>
      <c r="I23" s="1">
        <v>99</v>
      </c>
      <c r="J23" s="1"/>
      <c r="L23">
        <v>0.59</v>
      </c>
      <c r="M23">
        <v>0</v>
      </c>
      <c r="O23" s="1" t="s">
        <v>72</v>
      </c>
    </row>
    <row r="24" spans="2:15" x14ac:dyDescent="0.3">
      <c r="B24" t="s">
        <v>71</v>
      </c>
      <c r="C24" t="s">
        <v>28</v>
      </c>
      <c r="D24" s="2" t="s">
        <v>138</v>
      </c>
      <c r="E24" s="1" t="s">
        <v>70</v>
      </c>
      <c r="F24" s="1" t="s">
        <v>57</v>
      </c>
      <c r="G24" s="1">
        <v>28</v>
      </c>
      <c r="H24" s="1">
        <v>99</v>
      </c>
      <c r="I24" s="1">
        <v>99</v>
      </c>
      <c r="J24" s="1">
        <v>99</v>
      </c>
      <c r="L24">
        <v>4.6500000000000004</v>
      </c>
      <c r="M24">
        <v>0</v>
      </c>
      <c r="O24" s="1" t="s">
        <v>72</v>
      </c>
    </row>
    <row r="25" spans="2:15" x14ac:dyDescent="0.3">
      <c r="B25" t="s">
        <v>71</v>
      </c>
      <c r="C25" t="s">
        <v>28</v>
      </c>
      <c r="D25" s="2" t="s">
        <v>139</v>
      </c>
      <c r="E25" s="1" t="s">
        <v>78</v>
      </c>
      <c r="F25" s="1" t="s">
        <v>76</v>
      </c>
      <c r="G25" s="1">
        <v>18</v>
      </c>
      <c r="H25" s="1">
        <v>99</v>
      </c>
      <c r="I25" s="1">
        <v>99</v>
      </c>
      <c r="J25" s="1">
        <v>61</v>
      </c>
      <c r="L25">
        <v>1.7</v>
      </c>
      <c r="M25">
        <v>1.66</v>
      </c>
      <c r="O25" s="1" t="s">
        <v>73</v>
      </c>
    </row>
    <row r="26" spans="2:15" x14ac:dyDescent="0.3">
      <c r="B26" t="s">
        <v>71</v>
      </c>
      <c r="C26" t="s">
        <v>28</v>
      </c>
      <c r="D26" s="2" t="s">
        <v>140</v>
      </c>
      <c r="E26" s="1" t="s">
        <v>78</v>
      </c>
      <c r="F26" s="1" t="s">
        <v>76</v>
      </c>
      <c r="G26" s="1">
        <v>56</v>
      </c>
      <c r="H26" s="1">
        <v>99</v>
      </c>
      <c r="I26" s="1">
        <v>99</v>
      </c>
      <c r="J26" s="1">
        <v>99</v>
      </c>
      <c r="L26">
        <v>2.61</v>
      </c>
      <c r="M26">
        <v>0</v>
      </c>
      <c r="O26" s="1" t="s">
        <v>74</v>
      </c>
    </row>
    <row r="27" spans="2:15" x14ac:dyDescent="0.3">
      <c r="B27" t="s">
        <v>71</v>
      </c>
      <c r="C27" t="s">
        <v>28</v>
      </c>
      <c r="D27" s="2" t="s">
        <v>140</v>
      </c>
      <c r="E27" s="1" t="s">
        <v>78</v>
      </c>
      <c r="F27" s="1" t="s">
        <v>57</v>
      </c>
      <c r="G27" s="1">
        <v>43</v>
      </c>
      <c r="H27" s="1">
        <v>99</v>
      </c>
      <c r="I27" s="1">
        <v>99</v>
      </c>
      <c r="J27" s="1">
        <v>76</v>
      </c>
      <c r="L27">
        <v>16.61</v>
      </c>
      <c r="M27">
        <v>1.37</v>
      </c>
      <c r="O27" s="1" t="s">
        <v>72</v>
      </c>
    </row>
    <row r="28" spans="2:15" x14ac:dyDescent="0.3">
      <c r="B28" t="s">
        <v>71</v>
      </c>
      <c r="C28" t="s">
        <v>28</v>
      </c>
      <c r="D28" s="2" t="s">
        <v>141</v>
      </c>
      <c r="E28" s="1" t="s">
        <v>69</v>
      </c>
      <c r="F28" s="1" t="s">
        <v>76</v>
      </c>
      <c r="G28" s="1"/>
      <c r="H28" s="1"/>
      <c r="I28" s="1"/>
      <c r="J28" s="1"/>
      <c r="L28">
        <v>0</v>
      </c>
      <c r="M28">
        <v>0</v>
      </c>
      <c r="O28" s="1" t="s">
        <v>74</v>
      </c>
    </row>
    <row r="29" spans="2:15" x14ac:dyDescent="0.3">
      <c r="B29" t="s">
        <v>71</v>
      </c>
      <c r="C29" t="s">
        <v>28</v>
      </c>
      <c r="D29" s="2" t="s">
        <v>141</v>
      </c>
      <c r="E29" s="1" t="s">
        <v>69</v>
      </c>
      <c r="F29" s="1" t="s">
        <v>57</v>
      </c>
      <c r="G29" s="1">
        <v>71</v>
      </c>
      <c r="H29" s="1">
        <v>99</v>
      </c>
      <c r="I29" s="1">
        <v>99</v>
      </c>
      <c r="J29" s="1">
        <v>64</v>
      </c>
      <c r="L29">
        <v>1.79</v>
      </c>
      <c r="M29">
        <v>4.0999999999999996</v>
      </c>
      <c r="O29" s="1" t="s">
        <v>72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9BB2-DB21-4AE2-87BE-7ACB40890AF4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F464-C5BC-4424-A7CC-7323BD056EF3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6E49B-3591-45AA-90BE-DA6CF89AA5DC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EE10D-0DAC-4CDC-938F-327A8B92A0AC}">
  <dimension ref="A1"/>
  <sheetViews>
    <sheetView workbookViewId="0">
      <selection activeCell="F51" sqref="F5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cascade</vt:lpstr>
      <vt:lpstr>Sheet4</vt:lpstr>
      <vt:lpstr>Sheet3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2024-07-16T06:47:47Z</dcterms:created>
  <dcterms:modified xsi:type="dcterms:W3CDTF">2024-08-01T15:35:01Z</dcterms:modified>
</cp:coreProperties>
</file>